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09D27E37-EFAD-A149-B309-D272903C0DCC}" xr6:coauthVersionLast="47" xr6:coauthVersionMax="47" xr10:uidLastSave="{00000000-0000-0000-0000-000000000000}"/>
  <bookViews>
    <workbookView xWindow="0" yWindow="740" windowWidth="30240" windowHeight="18900" xr2:uid="{F3AE395E-69F1-E94C-A117-2FA092719127}"/>
  </bookViews>
  <sheets>
    <sheet name="Raw Data" sheetId="2" r:id="rId1"/>
    <sheet name="Analyz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2" l="1"/>
  <c r="AG23" i="2"/>
  <c r="AG24" i="2"/>
  <c r="AG25" i="2"/>
  <c r="AG26" i="2"/>
  <c r="AG27" i="2"/>
  <c r="AG28" i="2"/>
  <c r="AG29" i="2"/>
  <c r="AG30" i="2"/>
  <c r="AG31" i="2"/>
  <c r="AG32" i="2"/>
  <c r="AG21" i="2"/>
  <c r="AG5" i="2"/>
  <c r="AG6" i="2"/>
  <c r="AG7" i="2"/>
  <c r="AG8" i="2"/>
  <c r="AG9" i="2"/>
  <c r="AG10" i="2"/>
  <c r="AG11" i="2"/>
  <c r="AG12" i="2"/>
  <c r="AG13" i="2"/>
  <c r="AG14" i="2"/>
  <c r="AG15" i="2"/>
  <c r="AG4" i="2"/>
  <c r="N21" i="2"/>
  <c r="N22" i="2"/>
  <c r="O22" i="2"/>
  <c r="P22" i="2"/>
  <c r="Q22" i="2"/>
  <c r="N23" i="2"/>
  <c r="O23" i="2"/>
  <c r="P23" i="2"/>
  <c r="Q23" i="2"/>
  <c r="N24" i="2"/>
  <c r="O24" i="2"/>
  <c r="P24" i="2"/>
  <c r="Q24" i="2"/>
  <c r="N25" i="2"/>
  <c r="O25" i="2"/>
  <c r="P25" i="2"/>
  <c r="Q25" i="2"/>
  <c r="N26" i="2"/>
  <c r="O26" i="2"/>
  <c r="P26" i="2"/>
  <c r="Q26" i="2"/>
  <c r="N27" i="2"/>
  <c r="O27" i="2"/>
  <c r="P27" i="2"/>
  <c r="Q27" i="2"/>
  <c r="N28" i="2"/>
  <c r="O28" i="2"/>
  <c r="P28" i="2"/>
  <c r="Q28" i="2"/>
  <c r="N29" i="2"/>
  <c r="O29" i="2"/>
  <c r="P29" i="2"/>
  <c r="Q29" i="2"/>
  <c r="N30" i="2"/>
  <c r="O30" i="2"/>
  <c r="P30" i="2"/>
  <c r="Q30" i="2"/>
  <c r="N31" i="2"/>
  <c r="O31" i="2"/>
  <c r="P31" i="2"/>
  <c r="Q31" i="2"/>
  <c r="N32" i="2"/>
  <c r="O32" i="2"/>
  <c r="P32" i="2"/>
  <c r="Q32" i="2"/>
  <c r="N33" i="2"/>
  <c r="O33" i="2"/>
  <c r="P33" i="2"/>
  <c r="Q33" i="2"/>
  <c r="N34" i="2"/>
  <c r="O34" i="2"/>
  <c r="P34" i="2"/>
  <c r="Q34" i="2"/>
  <c r="N35" i="2"/>
  <c r="O35" i="2"/>
  <c r="P35" i="2"/>
  <c r="Q35" i="2"/>
  <c r="Q21" i="2"/>
  <c r="P21" i="2"/>
  <c r="O21" i="2"/>
  <c r="N5" i="2"/>
  <c r="O5" i="2"/>
  <c r="P5" i="2"/>
  <c r="Q5" i="2"/>
  <c r="N6" i="2"/>
  <c r="O6" i="2"/>
  <c r="P6" i="2"/>
  <c r="Q6" i="2"/>
  <c r="N7" i="2"/>
  <c r="O7" i="2"/>
  <c r="P7" i="2"/>
  <c r="Q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N18" i="2"/>
  <c r="O18" i="2"/>
  <c r="P18" i="2"/>
  <c r="Q18" i="2"/>
  <c r="Q4" i="2"/>
  <c r="P4" i="2"/>
  <c r="O4" i="2"/>
  <c r="N4" i="2"/>
  <c r="E29" i="1" l="1"/>
  <c r="E28" i="1"/>
  <c r="M19" i="1"/>
  <c r="E27" i="1"/>
  <c r="E26" i="1"/>
  <c r="E25" i="1"/>
  <c r="E24" i="1"/>
  <c r="L19" i="1"/>
  <c r="I18" i="1"/>
  <c r="E23" i="1"/>
  <c r="E22" i="1"/>
  <c r="E21" i="1"/>
  <c r="E20" i="1"/>
  <c r="K19" i="1"/>
  <c r="H18" i="1"/>
  <c r="E14" i="1"/>
  <c r="E13" i="1"/>
  <c r="M4" i="1"/>
  <c r="E12" i="1"/>
  <c r="E11" i="1"/>
  <c r="E10" i="1"/>
  <c r="E9" i="1"/>
  <c r="L4" i="1"/>
  <c r="I3" i="1"/>
  <c r="E8" i="1"/>
  <c r="E7" i="1"/>
  <c r="E6" i="1"/>
  <c r="E5" i="1"/>
  <c r="K4" i="1"/>
  <c r="H3" i="1"/>
  <c r="D29" i="1"/>
  <c r="D28" i="1"/>
  <c r="J19" i="1"/>
  <c r="D27" i="1"/>
  <c r="D26" i="1"/>
  <c r="D25" i="1"/>
  <c r="D24" i="1"/>
  <c r="I19" i="1"/>
  <c r="G18" i="1"/>
  <c r="D23" i="1"/>
  <c r="D22" i="1"/>
  <c r="D21" i="1"/>
  <c r="D20" i="1"/>
  <c r="H19" i="1"/>
  <c r="F18" i="1"/>
  <c r="D14" i="1"/>
  <c r="D13" i="1"/>
  <c r="J4" i="1"/>
  <c r="D12" i="1"/>
  <c r="D11" i="1"/>
  <c r="D10" i="1"/>
  <c r="D9" i="1"/>
  <c r="I4" i="1"/>
  <c r="G3" i="1"/>
  <c r="D8" i="1"/>
  <c r="D7" i="1"/>
  <c r="D6" i="1"/>
  <c r="D5" i="1"/>
  <c r="H4" i="1"/>
  <c r="F3" i="1"/>
  <c r="C29" i="1"/>
  <c r="C28" i="1"/>
  <c r="G19" i="1"/>
  <c r="C27" i="1"/>
  <c r="C26" i="1"/>
  <c r="C25" i="1"/>
  <c r="C24" i="1"/>
  <c r="F19" i="1"/>
  <c r="E18" i="1"/>
  <c r="C23" i="1"/>
  <c r="C22" i="1"/>
  <c r="C21" i="1"/>
  <c r="C20" i="1"/>
  <c r="E19" i="1"/>
  <c r="D18" i="1"/>
  <c r="C14" i="1"/>
  <c r="C13" i="1"/>
  <c r="G4" i="1"/>
  <c r="C12" i="1"/>
  <c r="C11" i="1"/>
  <c r="C10" i="1"/>
  <c r="C9" i="1"/>
  <c r="F4" i="1"/>
  <c r="E3" i="1"/>
  <c r="C8" i="1"/>
  <c r="C7" i="1"/>
  <c r="C6" i="1"/>
  <c r="C5" i="1"/>
  <c r="E4" i="1"/>
  <c r="D3" i="1"/>
  <c r="B29" i="1"/>
  <c r="B28" i="1"/>
  <c r="D19" i="1"/>
  <c r="B27" i="1"/>
  <c r="B26" i="1"/>
  <c r="B25" i="1"/>
  <c r="B24" i="1"/>
  <c r="C19" i="1"/>
  <c r="C18" i="1"/>
  <c r="B23" i="1"/>
  <c r="B22" i="1"/>
  <c r="B21" i="1"/>
  <c r="B20" i="1"/>
  <c r="B19" i="1"/>
  <c r="B18" i="1"/>
  <c r="B14" i="1"/>
  <c r="B13" i="1"/>
  <c r="D4" i="1"/>
  <c r="B12" i="1"/>
  <c r="B11" i="1"/>
  <c r="B10" i="1"/>
  <c r="B9" i="1"/>
  <c r="C4" i="1"/>
  <c r="C3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<sst xmlns="http://schemas.openxmlformats.org/spreadsheetml/2006/main" count="109" uniqueCount="30">
  <si>
    <t>OVCAR-3</t>
  </si>
  <si>
    <t>Media</t>
  </si>
  <si>
    <t>Methanol</t>
  </si>
  <si>
    <t>0.5 PFOA</t>
  </si>
  <si>
    <t>2 PFOA</t>
  </si>
  <si>
    <t>0.5 PFHpA</t>
  </si>
  <si>
    <t>2 PFHpA</t>
  </si>
  <si>
    <t>0.5 PFPA</t>
  </si>
  <si>
    <t>2 PFPA</t>
  </si>
  <si>
    <t>PFOA + PFHpA</t>
  </si>
  <si>
    <t>PFOA + PFPA</t>
  </si>
  <si>
    <t xml:space="preserve">PFHpA + PFPA </t>
  </si>
  <si>
    <t>PFOA + PFHpA + PFPA</t>
  </si>
  <si>
    <t>Caov-3</t>
  </si>
  <si>
    <t>TMRE</t>
  </si>
  <si>
    <t>MTG</t>
  </si>
  <si>
    <t>MMP</t>
  </si>
  <si>
    <t>LT TMRE</t>
  </si>
  <si>
    <t>OVCAR-3 Condition</t>
  </si>
  <si>
    <t>Medium</t>
  </si>
  <si>
    <t>500 nM PFOA</t>
  </si>
  <si>
    <t>2 uM PFOA</t>
  </si>
  <si>
    <t>500 nM PFHpA</t>
  </si>
  <si>
    <t>2 uM PFHpA</t>
  </si>
  <si>
    <t>500 nM PFPA</t>
  </si>
  <si>
    <t>2 uM PFPA</t>
  </si>
  <si>
    <t>PFHpA + PFPA</t>
  </si>
  <si>
    <t>Caov-3 Condition</t>
  </si>
  <si>
    <t>*50%</t>
  </si>
  <si>
    <t>*65%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</si>
</sst>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2C36-F3F8-3345-8004-87C004C936F0}">
  <dimension ref="A1:AG35"/>
  <sheetViews>
    <sheetView tabSelected="1" zoomScale="75" workbookViewId="0">
      <selection activeCell="AE31" sqref="AE31"/>
    </sheetView>
  </sheetViews>
  <sheetFormatPr baseColWidth="10" defaultRowHeight="16" x14ac:dyDescent="0.2"/>
  <cols>
    <col min="1" max="1" width="26.33203125" bestFit="1" customWidth="1"/>
  </cols>
  <sheetData>
    <row r="1" spans="1:33" x14ac:dyDescent="0.2">
      <c r="A1" t="s">
        <v>17</v>
      </c>
      <c r="E1" t="s">
        <v>28</v>
      </c>
      <c r="H1" t="s">
        <v>29</v>
      </c>
    </row>
    <row r="3" spans="1:33" x14ac:dyDescent="0.2">
      <c r="A3" s="2" t="s">
        <v>18</v>
      </c>
      <c r="B3" s="1" t="s">
        <v>14</v>
      </c>
      <c r="C3" s="1" t="s">
        <v>15</v>
      </c>
      <c r="E3" s="1" t="s">
        <v>14</v>
      </c>
      <c r="F3" s="1" t="s">
        <v>15</v>
      </c>
      <c r="H3" s="1" t="s">
        <v>14</v>
      </c>
      <c r="I3" s="1" t="s">
        <v>15</v>
      </c>
      <c r="K3" s="1" t="s">
        <v>14</v>
      </c>
      <c r="L3" s="1" t="s">
        <v>15</v>
      </c>
      <c r="M3" s="1"/>
      <c r="N3" s="1" t="s">
        <v>16</v>
      </c>
      <c r="O3" s="1" t="s">
        <v>16</v>
      </c>
      <c r="P3" s="1" t="s">
        <v>16</v>
      </c>
      <c r="Q3" s="1" t="s">
        <v>16</v>
      </c>
    </row>
    <row r="4" spans="1:33" x14ac:dyDescent="0.2">
      <c r="A4" t="s">
        <v>19</v>
      </c>
      <c r="B4">
        <v>7230</v>
      </c>
      <c r="C4">
        <v>2788</v>
      </c>
      <c r="E4">
        <v>5987</v>
      </c>
      <c r="F4">
        <v>1888</v>
      </c>
      <c r="H4">
        <v>9130</v>
      </c>
      <c r="I4">
        <v>3159</v>
      </c>
      <c r="K4">
        <v>3589</v>
      </c>
      <c r="L4">
        <v>4276</v>
      </c>
      <c r="N4">
        <f>B4/C4</f>
        <v>2.5932568149210904</v>
      </c>
      <c r="O4">
        <f>E4/F4</f>
        <v>3.1710805084745761</v>
      </c>
      <c r="P4">
        <f>H4/I4</f>
        <v>2.8901551123773346</v>
      </c>
      <c r="Q4">
        <f>K4/L4</f>
        <v>0.83933582787652006</v>
      </c>
      <c r="S4" t="s">
        <v>19</v>
      </c>
      <c r="T4">
        <v>2788</v>
      </c>
      <c r="U4">
        <v>1888</v>
      </c>
      <c r="V4">
        <v>3159</v>
      </c>
      <c r="W4">
        <v>4276</v>
      </c>
      <c r="X4">
        <v>2809</v>
      </c>
      <c r="Y4">
        <v>2951</v>
      </c>
      <c r="Z4">
        <v>2702</v>
      </c>
      <c r="AA4">
        <v>3848</v>
      </c>
      <c r="AG4">
        <f t="shared" ref="AG4:AG15" si="0">AVERAGE(T4:AE4)</f>
        <v>3052.625</v>
      </c>
    </row>
    <row r="5" spans="1:33" x14ac:dyDescent="0.2">
      <c r="A5" t="s">
        <v>2</v>
      </c>
      <c r="B5">
        <v>12373</v>
      </c>
      <c r="C5">
        <v>2942</v>
      </c>
      <c r="E5">
        <v>14592</v>
      </c>
      <c r="F5">
        <v>3542</v>
      </c>
      <c r="H5">
        <v>11179</v>
      </c>
      <c r="I5">
        <v>4731</v>
      </c>
      <c r="K5">
        <v>11577</v>
      </c>
      <c r="L5">
        <v>3371</v>
      </c>
      <c r="N5">
        <f t="shared" ref="N5:N18" si="1">B5/C5</f>
        <v>4.2056424201223654</v>
      </c>
      <c r="O5">
        <f t="shared" ref="O5:O18" si="2">E5/F5</f>
        <v>4.1197063805759457</v>
      </c>
      <c r="P5">
        <f t="shared" ref="P5:P18" si="3">H5/I5</f>
        <v>2.3629253857535404</v>
      </c>
      <c r="Q5">
        <f t="shared" ref="Q5:Q18" si="4">K5/L5</f>
        <v>3.4342924948086622</v>
      </c>
      <c r="S5" t="s">
        <v>2</v>
      </c>
      <c r="T5">
        <v>2942</v>
      </c>
      <c r="U5">
        <v>3542</v>
      </c>
      <c r="V5">
        <v>4731</v>
      </c>
      <c r="W5">
        <v>3371</v>
      </c>
      <c r="X5">
        <v>4935</v>
      </c>
      <c r="Y5">
        <v>3696</v>
      </c>
      <c r="Z5">
        <v>8222</v>
      </c>
      <c r="AA5">
        <v>2294</v>
      </c>
      <c r="AB5">
        <v>5229</v>
      </c>
      <c r="AC5">
        <v>9286</v>
      </c>
      <c r="AD5">
        <v>4330</v>
      </c>
      <c r="AE5">
        <v>6980</v>
      </c>
      <c r="AG5">
        <f t="shared" si="0"/>
        <v>4963.166666666667</v>
      </c>
    </row>
    <row r="6" spans="1:33" x14ac:dyDescent="0.2">
      <c r="A6" t="s">
        <v>20</v>
      </c>
      <c r="B6">
        <v>9975</v>
      </c>
      <c r="C6">
        <v>4055</v>
      </c>
      <c r="E6">
        <v>16150</v>
      </c>
      <c r="F6">
        <v>4987</v>
      </c>
      <c r="H6">
        <v>13535</v>
      </c>
      <c r="I6">
        <v>6173</v>
      </c>
      <c r="K6">
        <v>14829</v>
      </c>
      <c r="L6">
        <v>13434</v>
      </c>
      <c r="N6">
        <f t="shared" si="1"/>
        <v>2.4599260172626387</v>
      </c>
      <c r="O6">
        <f t="shared" si="2"/>
        <v>3.2384198917184679</v>
      </c>
      <c r="P6">
        <f t="shared" si="3"/>
        <v>2.1926129920622062</v>
      </c>
      <c r="Q6">
        <f t="shared" si="4"/>
        <v>1.1038410004466279</v>
      </c>
      <c r="S6" t="s">
        <v>20</v>
      </c>
      <c r="T6">
        <v>4055</v>
      </c>
      <c r="U6">
        <v>4987</v>
      </c>
      <c r="V6">
        <v>6173</v>
      </c>
      <c r="W6">
        <v>13434</v>
      </c>
      <c r="AG6">
        <f t="shared" si="0"/>
        <v>7162.25</v>
      </c>
    </row>
    <row r="7" spans="1:33" x14ac:dyDescent="0.2">
      <c r="A7" t="s">
        <v>21</v>
      </c>
      <c r="B7">
        <v>11679</v>
      </c>
      <c r="C7">
        <v>5300</v>
      </c>
      <c r="E7">
        <v>17769</v>
      </c>
      <c r="F7">
        <v>5875</v>
      </c>
      <c r="H7">
        <v>14826</v>
      </c>
      <c r="I7">
        <v>6922</v>
      </c>
      <c r="K7">
        <v>12693</v>
      </c>
      <c r="L7">
        <v>7588</v>
      </c>
      <c r="N7">
        <f t="shared" si="1"/>
        <v>2.2035849056603776</v>
      </c>
      <c r="O7">
        <f t="shared" si="2"/>
        <v>3.0245106382978721</v>
      </c>
      <c r="P7">
        <f t="shared" si="3"/>
        <v>2.1418665125686216</v>
      </c>
      <c r="Q7">
        <f t="shared" si="4"/>
        <v>1.6727727991565631</v>
      </c>
      <c r="S7" t="s">
        <v>21</v>
      </c>
      <c r="T7">
        <v>5300</v>
      </c>
      <c r="U7">
        <v>5875</v>
      </c>
      <c r="V7">
        <v>6922</v>
      </c>
      <c r="W7">
        <v>7588</v>
      </c>
      <c r="AG7">
        <f t="shared" si="0"/>
        <v>6421.25</v>
      </c>
    </row>
    <row r="8" spans="1:33" x14ac:dyDescent="0.2">
      <c r="A8" t="s">
        <v>22</v>
      </c>
      <c r="B8">
        <v>12441</v>
      </c>
      <c r="C8">
        <v>4518</v>
      </c>
      <c r="E8">
        <v>17320</v>
      </c>
      <c r="F8">
        <v>9751</v>
      </c>
      <c r="H8">
        <v>16450</v>
      </c>
      <c r="I8">
        <v>5933</v>
      </c>
      <c r="K8">
        <v>16485</v>
      </c>
      <c r="L8">
        <v>4461</v>
      </c>
      <c r="N8">
        <f t="shared" si="1"/>
        <v>2.7536520584329351</v>
      </c>
      <c r="O8">
        <f t="shared" si="2"/>
        <v>1.7762280791713669</v>
      </c>
      <c r="P8">
        <f t="shared" si="3"/>
        <v>2.7726276757121187</v>
      </c>
      <c r="Q8">
        <f t="shared" si="4"/>
        <v>3.6953597848016142</v>
      </c>
      <c r="S8" t="s">
        <v>22</v>
      </c>
      <c r="T8">
        <v>4518</v>
      </c>
      <c r="U8">
        <v>9751</v>
      </c>
      <c r="V8">
        <v>5933</v>
      </c>
      <c r="W8">
        <v>4461</v>
      </c>
      <c r="AG8">
        <f t="shared" si="0"/>
        <v>6165.75</v>
      </c>
    </row>
    <row r="9" spans="1:33" x14ac:dyDescent="0.2">
      <c r="A9" t="s">
        <v>23</v>
      </c>
      <c r="B9">
        <v>14941</v>
      </c>
      <c r="C9">
        <v>4217</v>
      </c>
      <c r="E9">
        <v>20441</v>
      </c>
      <c r="F9">
        <v>7921</v>
      </c>
      <c r="H9">
        <v>14682</v>
      </c>
      <c r="I9">
        <v>5455</v>
      </c>
      <c r="K9">
        <v>10296</v>
      </c>
      <c r="L9">
        <v>1669</v>
      </c>
      <c r="N9">
        <f t="shared" si="1"/>
        <v>3.5430400758833294</v>
      </c>
      <c r="O9">
        <f t="shared" si="2"/>
        <v>2.580608509026638</v>
      </c>
      <c r="P9">
        <f t="shared" si="3"/>
        <v>2.6914757103574702</v>
      </c>
      <c r="Q9">
        <f t="shared" si="4"/>
        <v>6.1689634511683646</v>
      </c>
      <c r="S9" t="s">
        <v>23</v>
      </c>
      <c r="T9">
        <v>4217</v>
      </c>
      <c r="U9">
        <v>7921</v>
      </c>
      <c r="V9">
        <v>5455</v>
      </c>
      <c r="W9">
        <v>1669</v>
      </c>
      <c r="AG9">
        <f t="shared" si="0"/>
        <v>4815.5</v>
      </c>
    </row>
    <row r="10" spans="1:33" x14ac:dyDescent="0.2">
      <c r="A10" t="s">
        <v>19</v>
      </c>
      <c r="B10">
        <v>9044</v>
      </c>
      <c r="C10">
        <v>2809</v>
      </c>
      <c r="E10">
        <v>11600</v>
      </c>
      <c r="F10">
        <v>2951</v>
      </c>
      <c r="H10">
        <v>9186</v>
      </c>
      <c r="I10">
        <v>2702</v>
      </c>
      <c r="K10">
        <v>6031</v>
      </c>
      <c r="L10">
        <v>3848</v>
      </c>
      <c r="N10">
        <f t="shared" si="1"/>
        <v>3.2196511213955143</v>
      </c>
      <c r="O10">
        <f t="shared" si="2"/>
        <v>3.9308708912233143</v>
      </c>
      <c r="P10">
        <f t="shared" si="3"/>
        <v>3.399703923019985</v>
      </c>
      <c r="Q10">
        <f t="shared" si="4"/>
        <v>1.5673076923076923</v>
      </c>
      <c r="S10" t="s">
        <v>24</v>
      </c>
      <c r="T10">
        <v>3714</v>
      </c>
      <c r="U10">
        <v>5840</v>
      </c>
      <c r="V10">
        <v>5397</v>
      </c>
      <c r="W10">
        <v>13083</v>
      </c>
      <c r="AG10">
        <f t="shared" si="0"/>
        <v>7008.5</v>
      </c>
    </row>
    <row r="11" spans="1:33" x14ac:dyDescent="0.2">
      <c r="A11" t="s">
        <v>2</v>
      </c>
      <c r="B11">
        <v>12641</v>
      </c>
      <c r="C11">
        <v>4935</v>
      </c>
      <c r="E11">
        <v>27103</v>
      </c>
      <c r="F11">
        <v>3696</v>
      </c>
      <c r="H11">
        <v>15434</v>
      </c>
      <c r="I11">
        <v>8222</v>
      </c>
      <c r="K11">
        <v>21609</v>
      </c>
      <c r="L11">
        <v>2294</v>
      </c>
      <c r="N11">
        <f t="shared" si="1"/>
        <v>2.5614994934143871</v>
      </c>
      <c r="O11">
        <f t="shared" si="2"/>
        <v>7.3330627705627709</v>
      </c>
      <c r="P11">
        <f t="shared" si="3"/>
        <v>1.8771588421308685</v>
      </c>
      <c r="Q11">
        <f t="shared" si="4"/>
        <v>9.4197907585004366</v>
      </c>
      <c r="S11" t="s">
        <v>25</v>
      </c>
      <c r="T11">
        <v>4702</v>
      </c>
      <c r="U11">
        <v>4624</v>
      </c>
      <c r="V11">
        <v>6497</v>
      </c>
      <c r="W11">
        <v>7188</v>
      </c>
      <c r="AG11">
        <f t="shared" si="0"/>
        <v>5752.75</v>
      </c>
    </row>
    <row r="12" spans="1:33" x14ac:dyDescent="0.2">
      <c r="A12" t="s">
        <v>24</v>
      </c>
      <c r="B12">
        <v>11831</v>
      </c>
      <c r="C12">
        <v>3714</v>
      </c>
      <c r="E12">
        <v>23049</v>
      </c>
      <c r="F12">
        <v>5840</v>
      </c>
      <c r="H12">
        <v>18774</v>
      </c>
      <c r="I12">
        <v>5397</v>
      </c>
      <c r="K12">
        <v>13111</v>
      </c>
      <c r="L12">
        <v>13083</v>
      </c>
      <c r="N12">
        <f t="shared" si="1"/>
        <v>3.1855142703284867</v>
      </c>
      <c r="O12">
        <f t="shared" si="2"/>
        <v>3.9467465753424658</v>
      </c>
      <c r="P12">
        <f t="shared" si="3"/>
        <v>3.4785992217898833</v>
      </c>
      <c r="Q12">
        <f t="shared" si="4"/>
        <v>1.0021401819154627</v>
      </c>
      <c r="S12" t="s">
        <v>9</v>
      </c>
      <c r="T12">
        <v>4330</v>
      </c>
      <c r="U12">
        <v>6207</v>
      </c>
      <c r="V12">
        <v>6815</v>
      </c>
      <c r="W12">
        <v>4297</v>
      </c>
      <c r="AG12">
        <f t="shared" si="0"/>
        <v>5412.25</v>
      </c>
    </row>
    <row r="13" spans="1:33" x14ac:dyDescent="0.2">
      <c r="A13" t="s">
        <v>25</v>
      </c>
      <c r="B13">
        <v>13096</v>
      </c>
      <c r="C13">
        <v>4702</v>
      </c>
      <c r="E13">
        <v>22720</v>
      </c>
      <c r="F13">
        <v>4624</v>
      </c>
      <c r="H13">
        <v>18570</v>
      </c>
      <c r="I13">
        <v>6497</v>
      </c>
      <c r="K13">
        <v>17044</v>
      </c>
      <c r="L13">
        <v>7188</v>
      </c>
      <c r="N13">
        <f t="shared" si="1"/>
        <v>2.7851977881752448</v>
      </c>
      <c r="O13">
        <f t="shared" si="2"/>
        <v>4.9134948096885811</v>
      </c>
      <c r="P13">
        <f t="shared" si="3"/>
        <v>2.8582422656610742</v>
      </c>
      <c r="Q13">
        <f t="shared" si="4"/>
        <v>2.3711741791875349</v>
      </c>
      <c r="S13" t="s">
        <v>10</v>
      </c>
      <c r="T13">
        <v>4044</v>
      </c>
      <c r="U13">
        <v>6350</v>
      </c>
      <c r="V13">
        <v>6963</v>
      </c>
      <c r="W13">
        <v>5132</v>
      </c>
      <c r="AG13">
        <f t="shared" si="0"/>
        <v>5622.25</v>
      </c>
    </row>
    <row r="14" spans="1:33" x14ac:dyDescent="0.2">
      <c r="A14" t="s">
        <v>9</v>
      </c>
      <c r="B14">
        <v>9931</v>
      </c>
      <c r="C14">
        <v>4330</v>
      </c>
      <c r="E14">
        <v>17564</v>
      </c>
      <c r="F14">
        <v>6207</v>
      </c>
      <c r="H14">
        <v>20325</v>
      </c>
      <c r="I14">
        <v>6815</v>
      </c>
      <c r="K14">
        <v>12054</v>
      </c>
      <c r="L14">
        <v>4297</v>
      </c>
      <c r="N14">
        <f t="shared" si="1"/>
        <v>2.2935334872979216</v>
      </c>
      <c r="O14">
        <f t="shared" si="2"/>
        <v>2.8297083937489931</v>
      </c>
      <c r="P14">
        <f t="shared" si="3"/>
        <v>2.9823917828319884</v>
      </c>
      <c r="Q14">
        <f t="shared" si="4"/>
        <v>2.805212939259949</v>
      </c>
      <c r="S14" t="s">
        <v>26</v>
      </c>
      <c r="T14">
        <v>5209</v>
      </c>
      <c r="U14">
        <v>5159</v>
      </c>
      <c r="V14">
        <v>4338</v>
      </c>
      <c r="W14">
        <v>8050</v>
      </c>
      <c r="AG14">
        <f t="shared" si="0"/>
        <v>5689</v>
      </c>
    </row>
    <row r="15" spans="1:33" x14ac:dyDescent="0.2">
      <c r="A15" t="s">
        <v>10</v>
      </c>
      <c r="B15">
        <v>13019</v>
      </c>
      <c r="C15">
        <v>4044</v>
      </c>
      <c r="E15">
        <v>16261</v>
      </c>
      <c r="F15">
        <v>6350</v>
      </c>
      <c r="H15">
        <v>20064</v>
      </c>
      <c r="I15">
        <v>6963</v>
      </c>
      <c r="K15">
        <v>12101</v>
      </c>
      <c r="L15">
        <v>5132</v>
      </c>
      <c r="N15">
        <f t="shared" si="1"/>
        <v>3.2193372898120671</v>
      </c>
      <c r="O15">
        <f t="shared" si="2"/>
        <v>2.5607874015748031</v>
      </c>
      <c r="P15">
        <f t="shared" si="3"/>
        <v>2.8815165876777251</v>
      </c>
      <c r="Q15">
        <f t="shared" si="4"/>
        <v>2.357950116913484</v>
      </c>
      <c r="S15" t="s">
        <v>12</v>
      </c>
      <c r="T15">
        <v>6652</v>
      </c>
      <c r="U15">
        <v>4189</v>
      </c>
      <c r="V15">
        <v>5596</v>
      </c>
      <c r="W15">
        <v>6859</v>
      </c>
      <c r="AG15">
        <f t="shared" si="0"/>
        <v>5824</v>
      </c>
    </row>
    <row r="16" spans="1:33" x14ac:dyDescent="0.2">
      <c r="A16" t="s">
        <v>2</v>
      </c>
      <c r="B16">
        <v>14780</v>
      </c>
      <c r="C16">
        <v>5229</v>
      </c>
      <c r="E16">
        <v>20173</v>
      </c>
      <c r="F16">
        <v>9286</v>
      </c>
      <c r="H16">
        <v>22538</v>
      </c>
      <c r="I16">
        <v>4330</v>
      </c>
      <c r="K16">
        <v>20900</v>
      </c>
      <c r="L16">
        <v>6980</v>
      </c>
      <c r="N16">
        <f t="shared" si="1"/>
        <v>2.8265442723274048</v>
      </c>
      <c r="O16">
        <f t="shared" si="2"/>
        <v>2.1724100796898558</v>
      </c>
      <c r="P16">
        <f t="shared" si="3"/>
        <v>5.2050808314087762</v>
      </c>
      <c r="Q16">
        <f t="shared" si="4"/>
        <v>2.994269340974212</v>
      </c>
    </row>
    <row r="17" spans="1:33" x14ac:dyDescent="0.2">
      <c r="A17" t="s">
        <v>26</v>
      </c>
      <c r="B17">
        <v>14199</v>
      </c>
      <c r="C17">
        <v>5209</v>
      </c>
      <c r="E17">
        <v>20580</v>
      </c>
      <c r="F17">
        <v>5159</v>
      </c>
      <c r="H17">
        <v>19885</v>
      </c>
      <c r="I17">
        <v>4338</v>
      </c>
      <c r="K17">
        <v>14794</v>
      </c>
      <c r="L17">
        <v>8050</v>
      </c>
      <c r="N17">
        <f t="shared" si="1"/>
        <v>2.7258590900364754</v>
      </c>
      <c r="O17">
        <f t="shared" si="2"/>
        <v>3.989145183175034</v>
      </c>
      <c r="P17">
        <f t="shared" si="3"/>
        <v>4.5839096357768554</v>
      </c>
      <c r="Q17">
        <f t="shared" si="4"/>
        <v>1.8377639751552795</v>
      </c>
    </row>
    <row r="18" spans="1:33" x14ac:dyDescent="0.2">
      <c r="A18" t="s">
        <v>12</v>
      </c>
      <c r="B18">
        <v>17200</v>
      </c>
      <c r="C18">
        <v>6652</v>
      </c>
      <c r="E18">
        <v>21290</v>
      </c>
      <c r="F18">
        <v>4189</v>
      </c>
      <c r="H18">
        <v>20174</v>
      </c>
      <c r="I18">
        <v>5596</v>
      </c>
      <c r="K18">
        <v>21808</v>
      </c>
      <c r="L18">
        <v>6859</v>
      </c>
      <c r="N18">
        <f t="shared" si="1"/>
        <v>2.5856885147324111</v>
      </c>
      <c r="O18">
        <f t="shared" si="2"/>
        <v>5.0823585581284316</v>
      </c>
      <c r="P18">
        <f t="shared" si="3"/>
        <v>3.6050750536097214</v>
      </c>
      <c r="Q18">
        <f t="shared" si="4"/>
        <v>3.1794722262720514</v>
      </c>
    </row>
    <row r="20" spans="1:33" x14ac:dyDescent="0.2">
      <c r="A20" s="3" t="s">
        <v>27</v>
      </c>
      <c r="B20" s="1" t="s">
        <v>14</v>
      </c>
      <c r="C20" s="1" t="s">
        <v>15</v>
      </c>
      <c r="E20" s="1" t="s">
        <v>14</v>
      </c>
      <c r="F20" s="1" t="s">
        <v>15</v>
      </c>
      <c r="H20" s="1" t="s">
        <v>14</v>
      </c>
      <c r="I20" s="1" t="s">
        <v>15</v>
      </c>
      <c r="K20" s="1" t="s">
        <v>14</v>
      </c>
      <c r="L20" s="1" t="s">
        <v>15</v>
      </c>
      <c r="M20" s="1"/>
      <c r="N20" s="1" t="s">
        <v>16</v>
      </c>
      <c r="O20" s="1" t="s">
        <v>16</v>
      </c>
      <c r="P20" s="1" t="s">
        <v>16</v>
      </c>
      <c r="Q20" s="1" t="s">
        <v>16</v>
      </c>
    </row>
    <row r="21" spans="1:33" x14ac:dyDescent="0.2">
      <c r="A21" t="s">
        <v>19</v>
      </c>
      <c r="B21">
        <v>15612</v>
      </c>
      <c r="C21">
        <v>7978</v>
      </c>
      <c r="E21">
        <v>14866</v>
      </c>
      <c r="F21">
        <v>7338</v>
      </c>
      <c r="H21">
        <v>12036</v>
      </c>
      <c r="I21">
        <v>8067</v>
      </c>
      <c r="K21">
        <v>9630</v>
      </c>
      <c r="L21">
        <v>9836</v>
      </c>
      <c r="N21">
        <f>B21/C21</f>
        <v>1.9568814239157684</v>
      </c>
      <c r="O21">
        <f>E21/F21</f>
        <v>2.0258926137912239</v>
      </c>
      <c r="P21">
        <f>H21/I21</f>
        <v>1.4920044626255113</v>
      </c>
      <c r="Q21">
        <f>K21/L21</f>
        <v>0.97905652704351365</v>
      </c>
      <c r="S21" t="s">
        <v>19</v>
      </c>
      <c r="T21">
        <v>7978</v>
      </c>
      <c r="U21">
        <v>7338</v>
      </c>
      <c r="V21">
        <v>8067</v>
      </c>
      <c r="W21">
        <v>9836</v>
      </c>
      <c r="X21">
        <v>8499</v>
      </c>
      <c r="Y21">
        <v>13293</v>
      </c>
      <c r="Z21">
        <v>12487</v>
      </c>
      <c r="AA21">
        <v>3483</v>
      </c>
      <c r="AG21">
        <f>AVERAGE(T21:AE21)</f>
        <v>8872.625</v>
      </c>
    </row>
    <row r="22" spans="1:33" x14ac:dyDescent="0.2">
      <c r="A22" t="s">
        <v>2</v>
      </c>
      <c r="B22">
        <v>20019</v>
      </c>
      <c r="C22">
        <v>11550</v>
      </c>
      <c r="E22">
        <v>24038</v>
      </c>
      <c r="F22">
        <v>17850</v>
      </c>
      <c r="H22">
        <v>29766</v>
      </c>
      <c r="I22">
        <v>9121</v>
      </c>
      <c r="K22">
        <v>12759</v>
      </c>
      <c r="L22">
        <v>15252</v>
      </c>
      <c r="N22">
        <f t="shared" ref="N22:N35" si="5">B22/C22</f>
        <v>1.7332467532467533</v>
      </c>
      <c r="O22">
        <f t="shared" ref="O22:O35" si="6">E22/F22</f>
        <v>1.3466666666666667</v>
      </c>
      <c r="P22">
        <f t="shared" ref="P22:P35" si="7">H22/I22</f>
        <v>3.2634579541716917</v>
      </c>
      <c r="Q22">
        <f t="shared" ref="Q22:Q35" si="8">K22/L22</f>
        <v>0.83654602675059009</v>
      </c>
      <c r="S22" t="s">
        <v>2</v>
      </c>
      <c r="T22">
        <v>11550</v>
      </c>
      <c r="U22">
        <v>17850</v>
      </c>
      <c r="V22">
        <v>9121</v>
      </c>
      <c r="W22">
        <v>15252</v>
      </c>
      <c r="X22">
        <v>14212</v>
      </c>
      <c r="Y22">
        <v>21392</v>
      </c>
      <c r="Z22">
        <v>23233</v>
      </c>
      <c r="AA22">
        <v>12859</v>
      </c>
      <c r="AB22">
        <v>9612</v>
      </c>
      <c r="AC22">
        <v>23848</v>
      </c>
      <c r="AD22">
        <v>11405</v>
      </c>
      <c r="AE22">
        <v>11764</v>
      </c>
      <c r="AG22">
        <f t="shared" ref="AG22:AG32" si="9">AVERAGE(T22:AE22)</f>
        <v>15174.833333333334</v>
      </c>
    </row>
    <row r="23" spans="1:33" x14ac:dyDescent="0.2">
      <c r="A23" t="s">
        <v>20</v>
      </c>
      <c r="B23">
        <v>24017</v>
      </c>
      <c r="C23">
        <v>11620</v>
      </c>
      <c r="E23">
        <v>30694</v>
      </c>
      <c r="F23">
        <v>12429</v>
      </c>
      <c r="H23">
        <v>21232</v>
      </c>
      <c r="I23">
        <v>15548</v>
      </c>
      <c r="K23">
        <v>6023</v>
      </c>
      <c r="L23">
        <v>21804</v>
      </c>
      <c r="N23">
        <f t="shared" si="5"/>
        <v>2.0668674698795182</v>
      </c>
      <c r="O23">
        <f t="shared" si="6"/>
        <v>2.4695470271140074</v>
      </c>
      <c r="P23">
        <f t="shared" si="7"/>
        <v>1.3655775662464626</v>
      </c>
      <c r="Q23">
        <f t="shared" si="8"/>
        <v>0.27623371858374612</v>
      </c>
      <c r="S23" t="s">
        <v>20</v>
      </c>
      <c r="T23">
        <v>11620</v>
      </c>
      <c r="U23">
        <v>12429</v>
      </c>
      <c r="V23">
        <v>15548</v>
      </c>
      <c r="W23">
        <v>21804</v>
      </c>
      <c r="AG23">
        <f t="shared" si="9"/>
        <v>15350.25</v>
      </c>
    </row>
    <row r="24" spans="1:33" x14ac:dyDescent="0.2">
      <c r="A24" t="s">
        <v>21</v>
      </c>
      <c r="B24">
        <v>25603</v>
      </c>
      <c r="C24">
        <v>12887</v>
      </c>
      <c r="E24">
        <v>25398</v>
      </c>
      <c r="F24">
        <v>15051</v>
      </c>
      <c r="H24">
        <v>27185</v>
      </c>
      <c r="I24">
        <v>11266</v>
      </c>
      <c r="K24">
        <v>11605</v>
      </c>
      <c r="L24">
        <v>24122</v>
      </c>
      <c r="N24">
        <f t="shared" si="5"/>
        <v>1.9867308139986033</v>
      </c>
      <c r="O24">
        <f t="shared" si="6"/>
        <v>1.6874626270679689</v>
      </c>
      <c r="P24">
        <f t="shared" si="7"/>
        <v>2.4130126042961124</v>
      </c>
      <c r="Q24">
        <f t="shared" si="8"/>
        <v>0.48109609485117322</v>
      </c>
      <c r="S24" t="s">
        <v>21</v>
      </c>
      <c r="T24">
        <v>12887</v>
      </c>
      <c r="U24">
        <v>15051</v>
      </c>
      <c r="V24">
        <v>11266</v>
      </c>
      <c r="W24">
        <v>24122</v>
      </c>
      <c r="AG24">
        <f t="shared" si="9"/>
        <v>15831.5</v>
      </c>
    </row>
    <row r="25" spans="1:33" x14ac:dyDescent="0.2">
      <c r="A25" t="s">
        <v>22</v>
      </c>
      <c r="B25">
        <v>22579</v>
      </c>
      <c r="C25">
        <v>12328</v>
      </c>
      <c r="E25">
        <v>23493</v>
      </c>
      <c r="F25">
        <v>16475</v>
      </c>
      <c r="H25">
        <v>20663</v>
      </c>
      <c r="I25">
        <v>13384</v>
      </c>
      <c r="K25">
        <v>9831</v>
      </c>
      <c r="L25">
        <v>18215</v>
      </c>
      <c r="N25">
        <f t="shared" si="5"/>
        <v>1.8315217391304348</v>
      </c>
      <c r="O25">
        <f t="shared" si="6"/>
        <v>1.42597875569044</v>
      </c>
      <c r="P25">
        <f t="shared" si="7"/>
        <v>1.5438583383144053</v>
      </c>
      <c r="Q25">
        <f t="shared" si="8"/>
        <v>0.53972001097996158</v>
      </c>
      <c r="S25" t="s">
        <v>22</v>
      </c>
      <c r="T25">
        <v>12328</v>
      </c>
      <c r="U25">
        <v>16475</v>
      </c>
      <c r="V25">
        <v>13384</v>
      </c>
      <c r="W25">
        <v>18215</v>
      </c>
      <c r="AG25">
        <f t="shared" si="9"/>
        <v>15100.5</v>
      </c>
    </row>
    <row r="26" spans="1:33" x14ac:dyDescent="0.2">
      <c r="A26" t="s">
        <v>23</v>
      </c>
      <c r="B26">
        <v>22860</v>
      </c>
      <c r="C26">
        <v>13061</v>
      </c>
      <c r="E26">
        <v>25376</v>
      </c>
      <c r="F26">
        <v>20237</v>
      </c>
      <c r="H26">
        <v>27812</v>
      </c>
      <c r="I26">
        <v>14482</v>
      </c>
      <c r="K26">
        <v>16936</v>
      </c>
      <c r="L26">
        <v>12731</v>
      </c>
      <c r="N26">
        <f t="shared" si="5"/>
        <v>1.7502488324018068</v>
      </c>
      <c r="O26">
        <f t="shared" si="6"/>
        <v>1.2539408015021989</v>
      </c>
      <c r="P26">
        <f t="shared" si="7"/>
        <v>1.9204529761082723</v>
      </c>
      <c r="Q26">
        <f t="shared" si="8"/>
        <v>1.3302961275626424</v>
      </c>
      <c r="S26" t="s">
        <v>23</v>
      </c>
      <c r="T26">
        <v>13061</v>
      </c>
      <c r="U26">
        <v>20237</v>
      </c>
      <c r="V26">
        <v>14482</v>
      </c>
      <c r="W26">
        <v>12731</v>
      </c>
      <c r="AG26">
        <f t="shared" si="9"/>
        <v>15127.75</v>
      </c>
    </row>
    <row r="27" spans="1:33" x14ac:dyDescent="0.2">
      <c r="A27" t="s">
        <v>19</v>
      </c>
      <c r="B27">
        <v>14690</v>
      </c>
      <c r="C27">
        <v>8499</v>
      </c>
      <c r="E27">
        <v>23716</v>
      </c>
      <c r="F27">
        <v>13293</v>
      </c>
      <c r="H27">
        <v>17852</v>
      </c>
      <c r="I27">
        <v>12487</v>
      </c>
      <c r="K27">
        <v>8799</v>
      </c>
      <c r="L27">
        <v>3483</v>
      </c>
      <c r="N27">
        <f t="shared" si="5"/>
        <v>1.7284386398399811</v>
      </c>
      <c r="O27">
        <f t="shared" si="6"/>
        <v>1.7840968931016323</v>
      </c>
      <c r="P27">
        <f t="shared" si="7"/>
        <v>1.4296468327060143</v>
      </c>
      <c r="Q27">
        <f t="shared" si="8"/>
        <v>2.5262704565030147</v>
      </c>
      <c r="S27" t="s">
        <v>24</v>
      </c>
      <c r="T27">
        <v>12085</v>
      </c>
      <c r="U27">
        <v>9359</v>
      </c>
      <c r="V27">
        <v>19000</v>
      </c>
      <c r="W27">
        <v>11923</v>
      </c>
      <c r="AG27">
        <f t="shared" si="9"/>
        <v>13091.75</v>
      </c>
    </row>
    <row r="28" spans="1:33" x14ac:dyDescent="0.2">
      <c r="A28" t="s">
        <v>2</v>
      </c>
      <c r="B28">
        <v>21149</v>
      </c>
      <c r="C28">
        <v>14212</v>
      </c>
      <c r="E28">
        <v>33683</v>
      </c>
      <c r="F28">
        <v>21392</v>
      </c>
      <c r="H28">
        <v>18154</v>
      </c>
      <c r="I28">
        <v>23233</v>
      </c>
      <c r="K28">
        <v>15737</v>
      </c>
      <c r="L28">
        <v>12859</v>
      </c>
      <c r="N28">
        <f t="shared" si="5"/>
        <v>1.4881086405854207</v>
      </c>
      <c r="O28">
        <f t="shared" si="6"/>
        <v>1.574560583395662</v>
      </c>
      <c r="P28">
        <f t="shared" si="7"/>
        <v>0.78138854215985887</v>
      </c>
      <c r="Q28">
        <f t="shared" si="8"/>
        <v>1.2238121160276849</v>
      </c>
      <c r="S28" t="s">
        <v>25</v>
      </c>
      <c r="T28">
        <v>13836</v>
      </c>
      <c r="U28">
        <v>12715</v>
      </c>
      <c r="V28">
        <v>26790</v>
      </c>
      <c r="W28">
        <v>17070</v>
      </c>
      <c r="AG28">
        <f t="shared" si="9"/>
        <v>17602.75</v>
      </c>
    </row>
    <row r="29" spans="1:33" x14ac:dyDescent="0.2">
      <c r="A29" t="s">
        <v>24</v>
      </c>
      <c r="B29">
        <v>25203</v>
      </c>
      <c r="C29">
        <v>12085</v>
      </c>
      <c r="E29">
        <v>37352</v>
      </c>
      <c r="F29">
        <v>9359</v>
      </c>
      <c r="H29">
        <v>24585</v>
      </c>
      <c r="I29">
        <v>19000</v>
      </c>
      <c r="K29">
        <v>26263</v>
      </c>
      <c r="L29">
        <v>11923</v>
      </c>
      <c r="N29">
        <f t="shared" si="5"/>
        <v>2.0854778651220522</v>
      </c>
      <c r="O29">
        <f t="shared" si="6"/>
        <v>3.9910246821241584</v>
      </c>
      <c r="P29">
        <f t="shared" si="7"/>
        <v>1.2939473684210527</v>
      </c>
      <c r="Q29">
        <f t="shared" si="8"/>
        <v>2.2027174368866898</v>
      </c>
      <c r="S29" t="s">
        <v>9</v>
      </c>
      <c r="T29">
        <v>11379</v>
      </c>
      <c r="U29">
        <v>11028</v>
      </c>
      <c r="V29">
        <v>15754</v>
      </c>
      <c r="W29">
        <v>16005</v>
      </c>
      <c r="AG29">
        <f t="shared" si="9"/>
        <v>13541.5</v>
      </c>
    </row>
    <row r="30" spans="1:33" x14ac:dyDescent="0.2">
      <c r="A30" t="s">
        <v>25</v>
      </c>
      <c r="B30">
        <v>22941</v>
      </c>
      <c r="C30">
        <v>13836</v>
      </c>
      <c r="E30">
        <v>37650</v>
      </c>
      <c r="F30">
        <v>12715</v>
      </c>
      <c r="H30">
        <v>22785</v>
      </c>
      <c r="I30">
        <v>26790</v>
      </c>
      <c r="K30">
        <v>12349</v>
      </c>
      <c r="L30">
        <v>17070</v>
      </c>
      <c r="N30">
        <f t="shared" si="5"/>
        <v>1.6580659150043364</v>
      </c>
      <c r="O30">
        <f t="shared" si="6"/>
        <v>2.9610696028313015</v>
      </c>
      <c r="P30">
        <f t="shared" si="7"/>
        <v>0.85050391937290037</v>
      </c>
      <c r="Q30">
        <f t="shared" si="8"/>
        <v>0.72343292325717634</v>
      </c>
      <c r="S30" t="s">
        <v>10</v>
      </c>
      <c r="T30">
        <v>19030</v>
      </c>
      <c r="U30">
        <v>17985</v>
      </c>
      <c r="V30">
        <v>14640</v>
      </c>
      <c r="W30">
        <v>15853</v>
      </c>
      <c r="AG30">
        <f t="shared" si="9"/>
        <v>16877</v>
      </c>
    </row>
    <row r="31" spans="1:33" x14ac:dyDescent="0.2">
      <c r="A31" t="s">
        <v>9</v>
      </c>
      <c r="B31">
        <v>21388</v>
      </c>
      <c r="C31">
        <v>11379</v>
      </c>
      <c r="E31">
        <v>31582</v>
      </c>
      <c r="F31">
        <v>11028</v>
      </c>
      <c r="H31">
        <v>22150</v>
      </c>
      <c r="I31">
        <v>15754</v>
      </c>
      <c r="K31">
        <v>18383</v>
      </c>
      <c r="L31">
        <v>16005</v>
      </c>
      <c r="N31">
        <f t="shared" si="5"/>
        <v>1.8796027770454347</v>
      </c>
      <c r="O31">
        <f t="shared" si="6"/>
        <v>2.8638012332245193</v>
      </c>
      <c r="P31">
        <f t="shared" si="7"/>
        <v>1.4059921289831154</v>
      </c>
      <c r="Q31">
        <f t="shared" si="8"/>
        <v>1.148578569197126</v>
      </c>
      <c r="S31" t="s">
        <v>26</v>
      </c>
      <c r="T31">
        <v>10570</v>
      </c>
      <c r="U31">
        <v>15686</v>
      </c>
      <c r="V31">
        <v>26365</v>
      </c>
      <c r="W31">
        <v>15589</v>
      </c>
      <c r="AG31">
        <f t="shared" si="9"/>
        <v>17052.5</v>
      </c>
    </row>
    <row r="32" spans="1:33" x14ac:dyDescent="0.2">
      <c r="A32" t="s">
        <v>10</v>
      </c>
      <c r="B32">
        <v>25548</v>
      </c>
      <c r="C32">
        <v>19030</v>
      </c>
      <c r="E32">
        <v>32151</v>
      </c>
      <c r="F32">
        <v>17985</v>
      </c>
      <c r="H32">
        <v>26532</v>
      </c>
      <c r="I32">
        <v>14640</v>
      </c>
      <c r="K32">
        <v>19812</v>
      </c>
      <c r="L32">
        <v>15853</v>
      </c>
      <c r="N32">
        <f t="shared" si="5"/>
        <v>1.3425118234366789</v>
      </c>
      <c r="O32">
        <f t="shared" si="6"/>
        <v>1.7876563803169307</v>
      </c>
      <c r="P32">
        <f t="shared" si="7"/>
        <v>1.812295081967213</v>
      </c>
      <c r="Q32">
        <f t="shared" si="8"/>
        <v>1.2497319119409576</v>
      </c>
      <c r="S32" t="s">
        <v>12</v>
      </c>
      <c r="T32">
        <v>11904</v>
      </c>
      <c r="U32">
        <v>12467</v>
      </c>
      <c r="V32">
        <v>11768</v>
      </c>
      <c r="W32">
        <v>18404</v>
      </c>
      <c r="AG32">
        <f t="shared" si="9"/>
        <v>13635.75</v>
      </c>
    </row>
    <row r="33" spans="1:17" x14ac:dyDescent="0.2">
      <c r="A33" t="s">
        <v>2</v>
      </c>
      <c r="B33">
        <v>18673</v>
      </c>
      <c r="C33">
        <v>9612</v>
      </c>
      <c r="E33">
        <v>25222</v>
      </c>
      <c r="F33">
        <v>23848</v>
      </c>
      <c r="H33">
        <v>24318</v>
      </c>
      <c r="I33">
        <v>11405</v>
      </c>
      <c r="K33">
        <v>24976</v>
      </c>
      <c r="L33">
        <v>11764</v>
      </c>
      <c r="N33">
        <f t="shared" si="5"/>
        <v>1.942675821889305</v>
      </c>
      <c r="O33">
        <f t="shared" si="6"/>
        <v>1.0576148943307615</v>
      </c>
      <c r="P33">
        <f t="shared" si="7"/>
        <v>2.1322227093380097</v>
      </c>
      <c r="Q33">
        <f t="shared" si="8"/>
        <v>2.1230873852431147</v>
      </c>
    </row>
    <row r="34" spans="1:17" x14ac:dyDescent="0.2">
      <c r="A34" t="s">
        <v>26</v>
      </c>
      <c r="B34">
        <v>20741</v>
      </c>
      <c r="C34">
        <v>10570</v>
      </c>
      <c r="E34">
        <v>27793</v>
      </c>
      <c r="F34">
        <v>15686</v>
      </c>
      <c r="H34">
        <v>21789</v>
      </c>
      <c r="I34">
        <v>26365</v>
      </c>
      <c r="K34">
        <v>23304</v>
      </c>
      <c r="L34">
        <v>15589</v>
      </c>
      <c r="N34">
        <f t="shared" si="5"/>
        <v>1.9622516556291392</v>
      </c>
      <c r="O34">
        <f t="shared" si="6"/>
        <v>1.7718347571082493</v>
      </c>
      <c r="P34">
        <f t="shared" si="7"/>
        <v>0.82643656362601936</v>
      </c>
      <c r="Q34">
        <f t="shared" si="8"/>
        <v>1.4949002501764064</v>
      </c>
    </row>
    <row r="35" spans="1:17" x14ac:dyDescent="0.2">
      <c r="A35" t="s">
        <v>12</v>
      </c>
      <c r="B35">
        <v>22533</v>
      </c>
      <c r="C35">
        <v>11904</v>
      </c>
      <c r="E35">
        <v>27977</v>
      </c>
      <c r="F35">
        <v>12467</v>
      </c>
      <c r="H35">
        <v>25130</v>
      </c>
      <c r="I35">
        <v>11768</v>
      </c>
      <c r="K35">
        <v>12519</v>
      </c>
      <c r="L35">
        <v>18404</v>
      </c>
      <c r="N35">
        <f t="shared" si="5"/>
        <v>1.8928931451612903</v>
      </c>
      <c r="O35">
        <f t="shared" si="6"/>
        <v>2.2440843827705144</v>
      </c>
      <c r="P35">
        <f t="shared" si="7"/>
        <v>2.1354520734194424</v>
      </c>
      <c r="Q35">
        <f t="shared" si="8"/>
        <v>0.68023255813953487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21D3-2186-BE4D-BA54-3B727AF9E1DF}">
  <dimension ref="A1:M29"/>
  <sheetViews>
    <sheetView zoomScale="94" workbookViewId="0">
      <selection activeCell="M9" sqref="M9"/>
    </sheetView>
  </sheetViews>
  <sheetFormatPr baseColWidth="10" defaultRowHeight="16" x14ac:dyDescent="0.2"/>
  <cols>
    <col min="1" max="1" width="19.33203125" bestFit="1" customWidth="1"/>
  </cols>
  <sheetData>
    <row r="1" spans="1:13" x14ac:dyDescent="0.2">
      <c r="A1" t="s">
        <v>0</v>
      </c>
    </row>
    <row r="3" spans="1:13" x14ac:dyDescent="0.2">
      <c r="A3" t="s">
        <v>1</v>
      </c>
      <c r="B3">
        <f>3589/4276</f>
        <v>0.83933582787652006</v>
      </c>
      <c r="C3">
        <f>6031/3848</f>
        <v>1.5673076923076923</v>
      </c>
      <c r="D3">
        <f>9130/3159</f>
        <v>2.8901551123773346</v>
      </c>
      <c r="E3">
        <f>9186/2702</f>
        <v>3.399703923019985</v>
      </c>
      <c r="F3">
        <f>5987/1888</f>
        <v>3.1710805084745761</v>
      </c>
      <c r="G3">
        <f>11600/2951</f>
        <v>3.9308708912233143</v>
      </c>
      <c r="H3">
        <f>7230/2788</f>
        <v>2.5932568149210904</v>
      </c>
      <c r="I3">
        <f>9044/2809</f>
        <v>3.2196511213955143</v>
      </c>
    </row>
    <row r="4" spans="1:13" x14ac:dyDescent="0.2">
      <c r="A4" t="s">
        <v>2</v>
      </c>
      <c r="B4">
        <f>11577/3371</f>
        <v>3.4342924948086622</v>
      </c>
      <c r="C4">
        <f>21609/2294</f>
        <v>9.4197907585004366</v>
      </c>
      <c r="D4">
        <f>20900/6980</f>
        <v>2.994269340974212</v>
      </c>
      <c r="E4">
        <f>11179/4731</f>
        <v>2.3629253857535404</v>
      </c>
      <c r="F4">
        <f>15434/8222</f>
        <v>1.8771588421308685</v>
      </c>
      <c r="G4">
        <f>22538/4330</f>
        <v>5.2050808314087762</v>
      </c>
      <c r="H4">
        <f>14592/3542</f>
        <v>4.1197063805759457</v>
      </c>
      <c r="I4">
        <f>27103/3696</f>
        <v>7.3330627705627709</v>
      </c>
      <c r="J4">
        <f>20173/9286</f>
        <v>2.1724100796898558</v>
      </c>
      <c r="K4">
        <f>12373/2942</f>
        <v>4.2056424201223654</v>
      </c>
      <c r="L4">
        <f>12641/4935</f>
        <v>2.5614994934143871</v>
      </c>
      <c r="M4">
        <f>14780/5229</f>
        <v>2.8265442723274048</v>
      </c>
    </row>
    <row r="5" spans="1:13" x14ac:dyDescent="0.2">
      <c r="A5" t="s">
        <v>3</v>
      </c>
      <c r="B5">
        <f>14829/13434</f>
        <v>1.1038410004466279</v>
      </c>
      <c r="C5">
        <f>13535/6173</f>
        <v>2.1926129920622062</v>
      </c>
      <c r="D5">
        <f>16150/4987</f>
        <v>3.2384198917184679</v>
      </c>
      <c r="E5">
        <f>9975/4055</f>
        <v>2.4599260172626387</v>
      </c>
    </row>
    <row r="6" spans="1:13" x14ac:dyDescent="0.2">
      <c r="A6" t="s">
        <v>4</v>
      </c>
      <c r="B6">
        <f>12693/7588</f>
        <v>1.6727727991565631</v>
      </c>
      <c r="C6">
        <f>14826/6922</f>
        <v>2.1418665125686216</v>
      </c>
      <c r="D6">
        <f>17769/5875</f>
        <v>3.0245106382978721</v>
      </c>
      <c r="E6">
        <f>11679/5300</f>
        <v>2.2035849056603776</v>
      </c>
    </row>
    <row r="7" spans="1:13" x14ac:dyDescent="0.2">
      <c r="A7" t="s">
        <v>5</v>
      </c>
      <c r="B7">
        <f>16845/4461</f>
        <v>3.7760591795561531</v>
      </c>
      <c r="C7">
        <f>16450/5933</f>
        <v>2.7726276757121187</v>
      </c>
      <c r="D7">
        <f>17320/9751</f>
        <v>1.7762280791713669</v>
      </c>
      <c r="E7">
        <f>12441/4518</f>
        <v>2.7536520584329351</v>
      </c>
    </row>
    <row r="8" spans="1:13" x14ac:dyDescent="0.2">
      <c r="A8" t="s">
        <v>6</v>
      </c>
      <c r="B8">
        <f>10296/1669</f>
        <v>6.1689634511683646</v>
      </c>
      <c r="C8">
        <f>14682/5455</f>
        <v>2.6914757103574702</v>
      </c>
      <c r="D8">
        <f>20441/7921</f>
        <v>2.580608509026638</v>
      </c>
      <c r="E8">
        <f>14491/4217</f>
        <v>3.4363291439411903</v>
      </c>
    </row>
    <row r="9" spans="1:13" x14ac:dyDescent="0.2">
      <c r="A9" t="s">
        <v>7</v>
      </c>
      <c r="B9">
        <f>13111/13083</f>
        <v>1.0021401819154627</v>
      </c>
      <c r="C9">
        <f>18774/5397</f>
        <v>3.4785992217898833</v>
      </c>
      <c r="D9">
        <f>23049/5840</f>
        <v>3.9467465753424658</v>
      </c>
      <c r="E9">
        <f>11831/3714</f>
        <v>3.1855142703284867</v>
      </c>
    </row>
    <row r="10" spans="1:13" x14ac:dyDescent="0.2">
      <c r="A10" t="s">
        <v>8</v>
      </c>
      <c r="B10">
        <f>17044/7188</f>
        <v>2.3711741791875349</v>
      </c>
      <c r="C10">
        <f>18570/6497</f>
        <v>2.8582422656610742</v>
      </c>
      <c r="D10">
        <f>22720/4624</f>
        <v>4.9134948096885811</v>
      </c>
      <c r="E10">
        <f>13096/4702</f>
        <v>2.7851977881752448</v>
      </c>
    </row>
    <row r="11" spans="1:13" x14ac:dyDescent="0.2">
      <c r="A11" t="s">
        <v>9</v>
      </c>
      <c r="B11">
        <f>12054/4297</f>
        <v>2.805212939259949</v>
      </c>
      <c r="C11">
        <f>20325/6815</f>
        <v>2.9823917828319884</v>
      </c>
      <c r="D11">
        <f>17564/6207</f>
        <v>2.8297083937489931</v>
      </c>
      <c r="E11">
        <f>9931/4330</f>
        <v>2.2935334872979216</v>
      </c>
    </row>
    <row r="12" spans="1:13" x14ac:dyDescent="0.2">
      <c r="A12" t="s">
        <v>10</v>
      </c>
      <c r="B12">
        <f>12101/5132</f>
        <v>2.357950116913484</v>
      </c>
      <c r="C12">
        <f>20064/6963</f>
        <v>2.8815165876777251</v>
      </c>
      <c r="D12">
        <f>16261/6350</f>
        <v>2.5607874015748031</v>
      </c>
      <c r="E12">
        <f>13019/4044</f>
        <v>3.2193372898120671</v>
      </c>
    </row>
    <row r="13" spans="1:13" x14ac:dyDescent="0.2">
      <c r="A13" t="s">
        <v>11</v>
      </c>
      <c r="B13">
        <f>14794/8050</f>
        <v>1.8377639751552795</v>
      </c>
      <c r="C13">
        <f>19885/4338</f>
        <v>4.5839096357768554</v>
      </c>
      <c r="D13">
        <f>20580/5159</f>
        <v>3.989145183175034</v>
      </c>
      <c r="E13">
        <f>14199/5209</f>
        <v>2.7258590900364754</v>
      </c>
    </row>
    <row r="14" spans="1:13" x14ac:dyDescent="0.2">
      <c r="A14" t="s">
        <v>12</v>
      </c>
      <c r="B14">
        <f>21808/6859</f>
        <v>3.1794722262720514</v>
      </c>
      <c r="C14">
        <f>20174/5596</f>
        <v>3.6050750536097214</v>
      </c>
      <c r="D14">
        <f>21290/4189</f>
        <v>5.0823585581284316</v>
      </c>
      <c r="E14">
        <f>17200/6652</f>
        <v>2.5856885147324111</v>
      </c>
    </row>
    <row r="16" spans="1:13" x14ac:dyDescent="0.2">
      <c r="A16" t="s">
        <v>13</v>
      </c>
    </row>
    <row r="18" spans="1:13" x14ac:dyDescent="0.2">
      <c r="A18" t="s">
        <v>1</v>
      </c>
      <c r="B18">
        <f>9630/9836</f>
        <v>0.97905652704351365</v>
      </c>
      <c r="C18">
        <f>8799/3484</f>
        <v>2.5255453501722158</v>
      </c>
      <c r="D18">
        <f>12036/8067</f>
        <v>1.4920044626255113</v>
      </c>
      <c r="E18">
        <f>17852/12487</f>
        <v>1.4296468327060143</v>
      </c>
      <c r="F18">
        <f>14866/7338</f>
        <v>2.0258926137912239</v>
      </c>
      <c r="G18">
        <f>23716/13293</f>
        <v>1.7840968931016323</v>
      </c>
      <c r="H18">
        <f>15612/7978</f>
        <v>1.9568814239157684</v>
      </c>
      <c r="I18">
        <f>14690/8499</f>
        <v>1.7284386398399811</v>
      </c>
    </row>
    <row r="19" spans="1:13" x14ac:dyDescent="0.2">
      <c r="A19" t="s">
        <v>2</v>
      </c>
      <c r="B19">
        <f>13759/15252</f>
        <v>0.90211119853134014</v>
      </c>
      <c r="C19">
        <f>15737/12859</f>
        <v>1.2238121160276849</v>
      </c>
      <c r="D19">
        <f>24976/11764</f>
        <v>2.1230873852431147</v>
      </c>
      <c r="E19">
        <f>29766/9121</f>
        <v>3.2634579541716917</v>
      </c>
      <c r="F19">
        <f>18154/23233</f>
        <v>0.78138854215985887</v>
      </c>
      <c r="G19">
        <f>24318/11405</f>
        <v>2.1322227093380097</v>
      </c>
      <c r="H19">
        <f>24038/17850</f>
        <v>1.3466666666666667</v>
      </c>
      <c r="I19">
        <f>33683/21392</f>
        <v>1.574560583395662</v>
      </c>
      <c r="J19">
        <f>25222/23848</f>
        <v>1.0576148943307615</v>
      </c>
      <c r="K19">
        <f>20019/11550</f>
        <v>1.7332467532467533</v>
      </c>
      <c r="L19">
        <f>21149/14212</f>
        <v>1.4881086405854207</v>
      </c>
      <c r="M19">
        <f>18673/9612</f>
        <v>1.942675821889305</v>
      </c>
    </row>
    <row r="20" spans="1:13" x14ac:dyDescent="0.2">
      <c r="A20" t="s">
        <v>3</v>
      </c>
      <c r="B20">
        <f>6023/21804</f>
        <v>0.27623371858374612</v>
      </c>
      <c r="C20">
        <f>21232/15548</f>
        <v>1.3655775662464626</v>
      </c>
      <c r="D20">
        <f>30694/12429</f>
        <v>2.4695470271140074</v>
      </c>
      <c r="E20">
        <f>24017/11620</f>
        <v>2.0668674698795182</v>
      </c>
    </row>
    <row r="21" spans="1:13" x14ac:dyDescent="0.2">
      <c r="A21" t="s">
        <v>4</v>
      </c>
      <c r="B21">
        <f>11605/24122</f>
        <v>0.48109609485117322</v>
      </c>
      <c r="C21">
        <f>27185/11266</f>
        <v>2.4130126042961124</v>
      </c>
      <c r="D21">
        <f>25398/15051</f>
        <v>1.6874626270679689</v>
      </c>
      <c r="E21">
        <f>25603/12887</f>
        <v>1.9867308139986033</v>
      </c>
    </row>
    <row r="22" spans="1:13" x14ac:dyDescent="0.2">
      <c r="A22" t="s">
        <v>5</v>
      </c>
      <c r="B22">
        <f>9831/18215</f>
        <v>0.53972001097996158</v>
      </c>
      <c r="C22">
        <f>20663/13384</f>
        <v>1.5438583383144053</v>
      </c>
      <c r="D22">
        <f>23493/16475</f>
        <v>1.42597875569044</v>
      </c>
      <c r="E22">
        <f>22579/12328</f>
        <v>1.8315217391304348</v>
      </c>
    </row>
    <row r="23" spans="1:13" x14ac:dyDescent="0.2">
      <c r="A23" t="s">
        <v>6</v>
      </c>
      <c r="B23">
        <f>16936/12731</f>
        <v>1.3302961275626424</v>
      </c>
      <c r="C23">
        <f>27812/14482</f>
        <v>1.9204529761082723</v>
      </c>
      <c r="D23">
        <f>25376/20237</f>
        <v>1.2539408015021989</v>
      </c>
      <c r="E23">
        <f>22860/13061</f>
        <v>1.7502488324018068</v>
      </c>
    </row>
    <row r="24" spans="1:13" x14ac:dyDescent="0.2">
      <c r="A24" t="s">
        <v>7</v>
      </c>
      <c r="B24">
        <f>26263/11923</f>
        <v>2.2027174368866898</v>
      </c>
      <c r="C24">
        <f>24585/19000</f>
        <v>1.2939473684210527</v>
      </c>
      <c r="D24">
        <f>37352/9359</f>
        <v>3.9910246821241584</v>
      </c>
      <c r="E24">
        <f>25203/12085</f>
        <v>2.0854778651220522</v>
      </c>
    </row>
    <row r="25" spans="1:13" x14ac:dyDescent="0.2">
      <c r="A25" t="s">
        <v>8</v>
      </c>
      <c r="B25">
        <f>12349/17070</f>
        <v>0.72343292325717634</v>
      </c>
      <c r="C25">
        <f>22785/26790</f>
        <v>0.85050391937290037</v>
      </c>
      <c r="D25">
        <f>37650/12715</f>
        <v>2.9610696028313015</v>
      </c>
      <c r="E25">
        <f>22941/13836</f>
        <v>1.6580659150043364</v>
      </c>
    </row>
    <row r="26" spans="1:13" x14ac:dyDescent="0.2">
      <c r="A26" t="s">
        <v>9</v>
      </c>
      <c r="B26">
        <f>18383/16005</f>
        <v>1.148578569197126</v>
      </c>
      <c r="C26">
        <f>22150/15754</f>
        <v>1.4059921289831154</v>
      </c>
      <c r="D26">
        <f>31582/11028</f>
        <v>2.8638012332245193</v>
      </c>
      <c r="E26">
        <f>21388/11379</f>
        <v>1.8796027770454347</v>
      </c>
    </row>
    <row r="27" spans="1:13" x14ac:dyDescent="0.2">
      <c r="A27" t="s">
        <v>10</v>
      </c>
      <c r="B27">
        <f>19812/15853</f>
        <v>1.2497319119409576</v>
      </c>
      <c r="C27">
        <f>26532/14640</f>
        <v>1.812295081967213</v>
      </c>
      <c r="D27">
        <f>32151/17985</f>
        <v>1.7876563803169307</v>
      </c>
      <c r="E27">
        <f>25548/19030</f>
        <v>1.3425118234366789</v>
      </c>
    </row>
    <row r="28" spans="1:13" x14ac:dyDescent="0.2">
      <c r="A28" t="s">
        <v>11</v>
      </c>
      <c r="B28">
        <f>23304/15589</f>
        <v>1.4949002501764064</v>
      </c>
      <c r="C28">
        <f>21789/26365</f>
        <v>0.82643656362601936</v>
      </c>
      <c r="D28">
        <f>27793/15686</f>
        <v>1.7718347571082493</v>
      </c>
      <c r="E28">
        <f>20741/10570</f>
        <v>1.9622516556291392</v>
      </c>
    </row>
    <row r="29" spans="1:13" x14ac:dyDescent="0.2">
      <c r="A29" t="s">
        <v>12</v>
      </c>
      <c r="B29">
        <f>12519/18404</f>
        <v>0.68023255813953487</v>
      </c>
      <c r="C29">
        <f>25130/11768</f>
        <v>2.1354520734194424</v>
      </c>
      <c r="D29">
        <f>27977/12467</f>
        <v>2.2440843827705144</v>
      </c>
      <c r="E29">
        <f>22533/11904</f>
        <v>1.8928931451612903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Analyzed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2024-01-30T00:21:30Z</dcterms:created>
  <dcterms:modified xsi:type="dcterms:W3CDTF">2025-06-30T11:12:48Z</dcterms:modified>
</cp:coreProperties>
</file>