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burlesonresearch-my.sharepoint.com/personal/vjohnson_brt-labs_com/Documents/NTP Immunotox Share/NTP PAC Protocols/BPA In vitro Hypersensitivity/CEBS Raw Data for publication page/"/>
    </mc:Choice>
  </mc:AlternateContent>
  <xr:revisionPtr revIDLastSave="32" documentId="8_{015D6413-99DF-4E53-99FC-70B24D594915}" xr6:coauthVersionLast="47" xr6:coauthVersionMax="47" xr10:uidLastSave="{D8FF5720-CB10-4670-98B6-0B608EDC89ED}"/>
  <bookViews>
    <workbookView xWindow="-108" yWindow="-108" windowWidth="23256" windowHeight="13896" activeTab="1" xr2:uid="{00000000-000D-0000-FFFF-FFFF00000000}"/>
  </bookViews>
  <sheets>
    <sheet name="Starting Concentrations" sheetId="5" r:id="rId1"/>
    <sheet name="Summary " sheetId="17" r:id="rId2"/>
    <sheet name="Run 1" sheetId="43" r:id="rId3"/>
    <sheet name="EC Values (Run 1)" sheetId="44" r:id="rId4"/>
    <sheet name="Run 2" sheetId="41" r:id="rId5"/>
    <sheet name="EC Values (Run 2)" sheetId="42" r:id="rId6"/>
    <sheet name="Run 3" sheetId="30" r:id="rId7"/>
    <sheet name="EC Values (Run 3)" sheetId="32" r:id="rId8"/>
  </sheets>
  <definedNames>
    <definedName name="_xlnm.Print_Area" localSheetId="2">'Run 1'!$A$1:$R$46</definedName>
    <definedName name="_xlnm.Print_Area" localSheetId="4">'Run 2'!$A$1:$R$46</definedName>
    <definedName name="_xlnm.Print_Area" localSheetId="6">'Run 3'!$A$1:$J$23</definedName>
    <definedName name="_xlnm.Print_Area" localSheetId="0">'Starting Concentrations'!$A$1:$C$9</definedName>
    <definedName name="_xlnm.Print_Area" localSheetId="1">'Summary '!$A$1:$O$10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" i="43" l="1"/>
  <c r="H22" i="30" l="1"/>
  <c r="H21" i="30"/>
  <c r="H20" i="30"/>
  <c r="H19" i="30"/>
  <c r="H18" i="30"/>
  <c r="H17" i="30"/>
  <c r="H16" i="30"/>
  <c r="H15" i="30"/>
  <c r="H14" i="30"/>
  <c r="H13" i="30"/>
  <c r="H12" i="30"/>
  <c r="H11" i="30"/>
  <c r="H10" i="30"/>
  <c r="H9" i="30"/>
  <c r="H8" i="30"/>
  <c r="H7" i="30"/>
  <c r="H6" i="30" l="1"/>
  <c r="H5" i="30"/>
  <c r="H4" i="30"/>
  <c r="H3" i="30"/>
  <c r="E6" i="30"/>
  <c r="E5" i="30"/>
  <c r="E4" i="30"/>
  <c r="E3" i="30"/>
  <c r="D6" i="30"/>
  <c r="D5" i="30"/>
  <c r="D4" i="30"/>
  <c r="D3" i="30"/>
  <c r="C6" i="30"/>
  <c r="C5" i="30"/>
  <c r="C4" i="30"/>
  <c r="C3" i="30"/>
  <c r="E22" i="30"/>
  <c r="E21" i="30"/>
  <c r="E20" i="30"/>
  <c r="E19" i="30"/>
  <c r="D22" i="30"/>
  <c r="D21" i="30"/>
  <c r="D20" i="30"/>
  <c r="D19" i="30"/>
  <c r="C22" i="30"/>
  <c r="C21" i="30"/>
  <c r="C20" i="30"/>
  <c r="C19" i="30"/>
  <c r="E10" i="30"/>
  <c r="D10" i="30"/>
  <c r="E18" i="30"/>
  <c r="D18" i="30"/>
  <c r="C18" i="30"/>
  <c r="E17" i="30"/>
  <c r="D17" i="30"/>
  <c r="C17" i="30"/>
  <c r="E16" i="30"/>
  <c r="D16" i="30"/>
  <c r="C16" i="30"/>
  <c r="E15" i="30"/>
  <c r="D15" i="30"/>
  <c r="C15" i="30"/>
  <c r="E14" i="30"/>
  <c r="D14" i="30"/>
  <c r="C14" i="30"/>
  <c r="E13" i="30"/>
  <c r="D13" i="30"/>
  <c r="C13" i="30"/>
  <c r="E12" i="30"/>
  <c r="D12" i="30"/>
  <c r="C12" i="30"/>
  <c r="E11" i="30"/>
  <c r="D11" i="30"/>
  <c r="C11" i="30"/>
  <c r="C10" i="30"/>
  <c r="E9" i="30"/>
  <c r="D9" i="30"/>
  <c r="C9" i="30"/>
  <c r="E8" i="30"/>
  <c r="D8" i="30"/>
  <c r="C8" i="30"/>
  <c r="E7" i="30"/>
  <c r="D7" i="30"/>
  <c r="C7" i="30"/>
  <c r="H6" i="41" l="1"/>
  <c r="H5" i="41"/>
  <c r="H4" i="41"/>
  <c r="H3" i="41"/>
  <c r="E6" i="41"/>
  <c r="E5" i="41"/>
  <c r="E4" i="41"/>
  <c r="E3" i="41"/>
  <c r="D6" i="41"/>
  <c r="D5" i="41"/>
  <c r="D4" i="41"/>
  <c r="D3" i="41"/>
  <c r="C6" i="41"/>
  <c r="C5" i="41"/>
  <c r="C4" i="41"/>
  <c r="C3" i="41"/>
  <c r="P46" i="41"/>
  <c r="P45" i="41"/>
  <c r="P44" i="41"/>
  <c r="P43" i="41"/>
  <c r="P42" i="41"/>
  <c r="P41" i="41"/>
  <c r="P40" i="41"/>
  <c r="P39" i="41"/>
  <c r="P38" i="41"/>
  <c r="P37" i="41"/>
  <c r="P36" i="41"/>
  <c r="P35" i="41"/>
  <c r="P34" i="41"/>
  <c r="P33" i="41"/>
  <c r="P32" i="41"/>
  <c r="P31" i="41"/>
  <c r="P30" i="41"/>
  <c r="P29" i="41"/>
  <c r="P28" i="41"/>
  <c r="P27" i="41"/>
  <c r="P26" i="41"/>
  <c r="P25" i="41"/>
  <c r="P24" i="41"/>
  <c r="P23" i="41"/>
  <c r="P22" i="41"/>
  <c r="P21" i="41"/>
  <c r="P20" i="41"/>
  <c r="P19" i="41"/>
  <c r="P18" i="41"/>
  <c r="P17" i="41"/>
  <c r="P16" i="41"/>
  <c r="P15" i="41"/>
  <c r="P14" i="41"/>
  <c r="P13" i="41"/>
  <c r="P12" i="41"/>
  <c r="P11" i="41"/>
  <c r="P10" i="41"/>
  <c r="P9" i="41"/>
  <c r="P8" i="41"/>
  <c r="P7" i="41"/>
  <c r="M46" i="41"/>
  <c r="M45" i="41"/>
  <c r="M44" i="41"/>
  <c r="M43" i="41"/>
  <c r="M42" i="41"/>
  <c r="M41" i="41"/>
  <c r="M40" i="41"/>
  <c r="M39" i="41"/>
  <c r="M38" i="41"/>
  <c r="M37" i="41"/>
  <c r="M36" i="41"/>
  <c r="M35" i="41"/>
  <c r="M34" i="41"/>
  <c r="M33" i="41"/>
  <c r="M32" i="41"/>
  <c r="M31" i="41"/>
  <c r="M30" i="41"/>
  <c r="M29" i="41"/>
  <c r="M28" i="41"/>
  <c r="M27" i="41"/>
  <c r="M26" i="41"/>
  <c r="M25" i="41"/>
  <c r="M24" i="41"/>
  <c r="M23" i="41"/>
  <c r="M22" i="41"/>
  <c r="M21" i="41"/>
  <c r="M20" i="41"/>
  <c r="M19" i="41"/>
  <c r="M18" i="41"/>
  <c r="M17" i="41"/>
  <c r="M16" i="41"/>
  <c r="M15" i="41"/>
  <c r="M14" i="41"/>
  <c r="M13" i="41"/>
  <c r="M12" i="41"/>
  <c r="M11" i="41"/>
  <c r="M10" i="41"/>
  <c r="M9" i="41"/>
  <c r="M8" i="41"/>
  <c r="M7" i="41"/>
  <c r="L46" i="41"/>
  <c r="L45" i="41"/>
  <c r="L44" i="41"/>
  <c r="L43" i="41"/>
  <c r="L42" i="41"/>
  <c r="L41" i="41"/>
  <c r="L40" i="41"/>
  <c r="L39" i="41"/>
  <c r="L38" i="41"/>
  <c r="L37" i="41"/>
  <c r="L36" i="41"/>
  <c r="L35" i="41"/>
  <c r="L34" i="41"/>
  <c r="L33" i="41"/>
  <c r="L32" i="41"/>
  <c r="L31" i="41"/>
  <c r="L30" i="41"/>
  <c r="L29" i="41"/>
  <c r="L28" i="41"/>
  <c r="L27" i="41"/>
  <c r="L26" i="41"/>
  <c r="L25" i="41"/>
  <c r="L24" i="41"/>
  <c r="L23" i="41"/>
  <c r="L22" i="41"/>
  <c r="L21" i="41"/>
  <c r="L20" i="41"/>
  <c r="L19" i="41"/>
  <c r="L18" i="41"/>
  <c r="L17" i="41"/>
  <c r="L16" i="41"/>
  <c r="L15" i="41"/>
  <c r="L14" i="41"/>
  <c r="L13" i="41"/>
  <c r="L12" i="41"/>
  <c r="L11" i="41"/>
  <c r="L10" i="41"/>
  <c r="L9" i="41"/>
  <c r="L8" i="41"/>
  <c r="L7" i="41"/>
  <c r="K46" i="41"/>
  <c r="K45" i="41"/>
  <c r="K44" i="41"/>
  <c r="K43" i="41"/>
  <c r="K42" i="41"/>
  <c r="K41" i="41"/>
  <c r="K40" i="41"/>
  <c r="K39" i="41"/>
  <c r="K38" i="41"/>
  <c r="K37" i="41"/>
  <c r="K36" i="41"/>
  <c r="K35" i="41"/>
  <c r="K34" i="41"/>
  <c r="K33" i="41"/>
  <c r="K32" i="41"/>
  <c r="K31" i="41"/>
  <c r="K30" i="41"/>
  <c r="K29" i="41"/>
  <c r="K28" i="41"/>
  <c r="K27" i="41"/>
  <c r="K26" i="41"/>
  <c r="K25" i="41"/>
  <c r="K24" i="41"/>
  <c r="K23" i="41"/>
  <c r="K22" i="41"/>
  <c r="K21" i="41"/>
  <c r="K20" i="41"/>
  <c r="K19" i="41"/>
  <c r="K18" i="41"/>
  <c r="K17" i="41"/>
  <c r="K16" i="41"/>
  <c r="K15" i="41"/>
  <c r="K14" i="41"/>
  <c r="K13" i="41"/>
  <c r="K12" i="41"/>
  <c r="K11" i="41"/>
  <c r="K10" i="41"/>
  <c r="K9" i="41"/>
  <c r="K8" i="41"/>
  <c r="K7" i="41"/>
  <c r="H46" i="41"/>
  <c r="H45" i="41"/>
  <c r="H44" i="41"/>
  <c r="H43" i="41"/>
  <c r="H42" i="41"/>
  <c r="H41" i="41"/>
  <c r="H40" i="41"/>
  <c r="H39" i="41"/>
  <c r="H38" i="41"/>
  <c r="H37" i="41"/>
  <c r="H36" i="41"/>
  <c r="H35" i="41"/>
  <c r="H34" i="41"/>
  <c r="H33" i="41"/>
  <c r="H32" i="41"/>
  <c r="H31" i="41"/>
  <c r="H30" i="41"/>
  <c r="H29" i="41"/>
  <c r="H28" i="41"/>
  <c r="H27" i="41"/>
  <c r="H26" i="41"/>
  <c r="H25" i="41"/>
  <c r="H24" i="41"/>
  <c r="H23" i="41"/>
  <c r="E46" i="41"/>
  <c r="E45" i="41"/>
  <c r="E44" i="41"/>
  <c r="E43" i="41"/>
  <c r="E42" i="41"/>
  <c r="E41" i="41"/>
  <c r="E40" i="41"/>
  <c r="E39" i="41"/>
  <c r="E38" i="41"/>
  <c r="E37" i="41"/>
  <c r="E36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D46" i="41"/>
  <c r="D45" i="41"/>
  <c r="D44" i="41"/>
  <c r="D43" i="41"/>
  <c r="D42" i="41"/>
  <c r="D41" i="41"/>
  <c r="D40" i="41"/>
  <c r="D39" i="41"/>
  <c r="D38" i="41"/>
  <c r="D37" i="41"/>
  <c r="D36" i="41"/>
  <c r="D35" i="41"/>
  <c r="D34" i="41"/>
  <c r="D33" i="41"/>
  <c r="D32" i="41"/>
  <c r="D31" i="41"/>
  <c r="D30" i="41"/>
  <c r="D29" i="41"/>
  <c r="D28" i="41"/>
  <c r="D27" i="41"/>
  <c r="D26" i="41"/>
  <c r="D25" i="41"/>
  <c r="D24" i="41"/>
  <c r="D23" i="41"/>
  <c r="C46" i="41"/>
  <c r="C45" i="41"/>
  <c r="C44" i="41"/>
  <c r="C43" i="41"/>
  <c r="C42" i="41"/>
  <c r="C41" i="41"/>
  <c r="C40" i="41"/>
  <c r="C39" i="41"/>
  <c r="C38" i="41"/>
  <c r="C37" i="41"/>
  <c r="C36" i="41"/>
  <c r="C35" i="41"/>
  <c r="C34" i="41"/>
  <c r="C33" i="41"/>
  <c r="C32" i="41"/>
  <c r="C31" i="41"/>
  <c r="C30" i="41"/>
  <c r="C29" i="41"/>
  <c r="C28" i="41"/>
  <c r="C27" i="41"/>
  <c r="C26" i="41"/>
  <c r="C25" i="41"/>
  <c r="C24" i="41"/>
  <c r="C23" i="41"/>
  <c r="M37" i="43" l="1"/>
  <c r="F5" i="41" l="1"/>
  <c r="G5" i="41"/>
  <c r="B15" i="30" l="1"/>
  <c r="B16" i="30" s="1"/>
  <c r="B17" i="30" s="1"/>
  <c r="B18" i="30" s="1"/>
  <c r="B19" i="30" s="1"/>
  <c r="B20" i="30" s="1"/>
  <c r="B21" i="30" s="1"/>
  <c r="B22" i="30" s="1"/>
  <c r="A15" i="30"/>
  <c r="B7" i="30"/>
  <c r="B8" i="30" s="1"/>
  <c r="B9" i="30" s="1"/>
  <c r="B10" i="30" s="1"/>
  <c r="B11" i="30" s="1"/>
  <c r="B12" i="30" s="1"/>
  <c r="B13" i="30" s="1"/>
  <c r="B14" i="30" s="1"/>
  <c r="A7" i="30"/>
  <c r="O39" i="41"/>
  <c r="J39" i="41"/>
  <c r="J40" i="41" s="1"/>
  <c r="J41" i="41" s="1"/>
  <c r="J42" i="41" s="1"/>
  <c r="J43" i="41" s="1"/>
  <c r="J44" i="41" s="1"/>
  <c r="J45" i="41" s="1"/>
  <c r="J46" i="41" s="1"/>
  <c r="I39" i="41"/>
  <c r="G39" i="41"/>
  <c r="B39" i="41"/>
  <c r="B40" i="41" s="1"/>
  <c r="B41" i="41" s="1"/>
  <c r="B42" i="41" s="1"/>
  <c r="B43" i="41" s="1"/>
  <c r="B44" i="41" s="1"/>
  <c r="B45" i="41" s="1"/>
  <c r="B46" i="41" s="1"/>
  <c r="A39" i="41"/>
  <c r="O38" i="41"/>
  <c r="O37" i="41"/>
  <c r="O36" i="41"/>
  <c r="O34" i="41"/>
  <c r="N34" i="41"/>
  <c r="G34" i="41"/>
  <c r="N33" i="41"/>
  <c r="G33" i="41"/>
  <c r="O32" i="41"/>
  <c r="G32" i="41"/>
  <c r="J31" i="41"/>
  <c r="J32" i="41" s="1"/>
  <c r="J33" i="41" s="1"/>
  <c r="J34" i="41" s="1"/>
  <c r="J35" i="41" s="1"/>
  <c r="J36" i="41" s="1"/>
  <c r="J37" i="41" s="1"/>
  <c r="J38" i="41" s="1"/>
  <c r="I31" i="41"/>
  <c r="B31" i="41"/>
  <c r="B32" i="41" s="1"/>
  <c r="B33" i="41" s="1"/>
  <c r="B34" i="41" s="1"/>
  <c r="B35" i="41" s="1"/>
  <c r="B36" i="41" s="1"/>
  <c r="B37" i="41" s="1"/>
  <c r="B38" i="41" s="1"/>
  <c r="A31" i="41"/>
  <c r="G30" i="41"/>
  <c r="O29" i="41"/>
  <c r="O28" i="41"/>
  <c r="O27" i="41"/>
  <c r="O25" i="41"/>
  <c r="G25" i="41"/>
  <c r="G24" i="41"/>
  <c r="O23" i="41"/>
  <c r="J23" i="41"/>
  <c r="J24" i="41" s="1"/>
  <c r="J25" i="41" s="1"/>
  <c r="J26" i="41" s="1"/>
  <c r="J27" i="41" s="1"/>
  <c r="J28" i="41" s="1"/>
  <c r="J29" i="41" s="1"/>
  <c r="J30" i="41" s="1"/>
  <c r="I23" i="41"/>
  <c r="G23" i="41"/>
  <c r="B23" i="41"/>
  <c r="B24" i="41" s="1"/>
  <c r="B25" i="41" s="1"/>
  <c r="B26" i="41" s="1"/>
  <c r="B27" i="41" s="1"/>
  <c r="B28" i="41" s="1"/>
  <c r="B29" i="41" s="1"/>
  <c r="B30" i="41" s="1"/>
  <c r="A23" i="41"/>
  <c r="O22" i="41"/>
  <c r="O20" i="41"/>
  <c r="O17" i="41"/>
  <c r="O16" i="41"/>
  <c r="O15" i="41"/>
  <c r="J15" i="41"/>
  <c r="J16" i="41" s="1"/>
  <c r="J17" i="41" s="1"/>
  <c r="J18" i="41" s="1"/>
  <c r="J19" i="41" s="1"/>
  <c r="J20" i="41" s="1"/>
  <c r="J21" i="41" s="1"/>
  <c r="J22" i="41" s="1"/>
  <c r="I15" i="41"/>
  <c r="A15" i="41"/>
  <c r="O14" i="41"/>
  <c r="O13" i="41"/>
  <c r="N13" i="41"/>
  <c r="N12" i="41"/>
  <c r="O11" i="41"/>
  <c r="N11" i="41"/>
  <c r="N10" i="41"/>
  <c r="O9" i="41"/>
  <c r="O7" i="41"/>
  <c r="J7" i="41"/>
  <c r="J8" i="41" s="1"/>
  <c r="J9" i="41" s="1"/>
  <c r="J10" i="41" s="1"/>
  <c r="J11" i="41" s="1"/>
  <c r="J12" i="41" s="1"/>
  <c r="J13" i="41" s="1"/>
  <c r="J14" i="41" s="1"/>
  <c r="I7" i="41"/>
  <c r="R4" i="41"/>
  <c r="R3" i="41"/>
  <c r="F36" i="41"/>
  <c r="H5" i="43"/>
  <c r="H4" i="43"/>
  <c r="H3" i="43"/>
  <c r="H6" i="43"/>
  <c r="P46" i="43"/>
  <c r="P45" i="43"/>
  <c r="P44" i="43"/>
  <c r="P43" i="43"/>
  <c r="P42" i="43"/>
  <c r="P41" i="43"/>
  <c r="P40" i="43"/>
  <c r="P39" i="43"/>
  <c r="P38" i="43"/>
  <c r="P37" i="43"/>
  <c r="P36" i="43"/>
  <c r="P35" i="43"/>
  <c r="P34" i="43"/>
  <c r="P33" i="43"/>
  <c r="P32" i="43"/>
  <c r="P31" i="43"/>
  <c r="P30" i="43"/>
  <c r="P29" i="43"/>
  <c r="P28" i="43"/>
  <c r="P27" i="43"/>
  <c r="P26" i="43"/>
  <c r="P25" i="43"/>
  <c r="P24" i="43"/>
  <c r="P23" i="43"/>
  <c r="P22" i="43"/>
  <c r="P21" i="43"/>
  <c r="P20" i="43"/>
  <c r="P19" i="43"/>
  <c r="P18" i="43"/>
  <c r="P17" i="43"/>
  <c r="P16" i="43"/>
  <c r="P15" i="43"/>
  <c r="P14" i="43"/>
  <c r="P13" i="43"/>
  <c r="P12" i="43"/>
  <c r="P11" i="43"/>
  <c r="P10" i="43"/>
  <c r="P9" i="43"/>
  <c r="P8" i="43"/>
  <c r="P7" i="43"/>
  <c r="H46" i="43"/>
  <c r="H45" i="43"/>
  <c r="H44" i="43"/>
  <c r="H43" i="43"/>
  <c r="H42" i="43"/>
  <c r="H41" i="43"/>
  <c r="H40" i="43"/>
  <c r="H39" i="43"/>
  <c r="H38" i="43"/>
  <c r="H37" i="43"/>
  <c r="H36" i="43"/>
  <c r="H35" i="43"/>
  <c r="H34" i="43"/>
  <c r="H33" i="43"/>
  <c r="H32" i="43"/>
  <c r="H31" i="43"/>
  <c r="H30" i="43"/>
  <c r="H29" i="43"/>
  <c r="H28" i="43"/>
  <c r="H27" i="43"/>
  <c r="H26" i="43"/>
  <c r="H25" i="43"/>
  <c r="H24" i="43"/>
  <c r="H23" i="43"/>
  <c r="F19" i="30" l="1"/>
  <c r="G22" i="30"/>
  <c r="G13" i="30"/>
  <c r="G5" i="30"/>
  <c r="G9" i="30"/>
  <c r="G11" i="30"/>
  <c r="G14" i="30"/>
  <c r="G15" i="30"/>
  <c r="G16" i="30"/>
  <c r="F5" i="30"/>
  <c r="G7" i="30"/>
  <c r="F11" i="30"/>
  <c r="G18" i="30"/>
  <c r="G20" i="30"/>
  <c r="F20" i="30"/>
  <c r="F23" i="41"/>
  <c r="O8" i="41"/>
  <c r="N19" i="41"/>
  <c r="N20" i="41"/>
  <c r="N21" i="41"/>
  <c r="N22" i="41"/>
  <c r="N39" i="41"/>
  <c r="F4" i="41"/>
  <c r="F6" i="41"/>
  <c r="O18" i="41"/>
  <c r="N24" i="41"/>
  <c r="N25" i="41"/>
  <c r="N26" i="41"/>
  <c r="G17" i="30"/>
  <c r="N27" i="41"/>
  <c r="O30" i="41"/>
  <c r="O31" i="41"/>
  <c r="N36" i="41"/>
  <c r="F39" i="41"/>
  <c r="N41" i="41"/>
  <c r="N43" i="41"/>
  <c r="N45" i="41"/>
  <c r="F6" i="30"/>
  <c r="G8" i="30"/>
  <c r="F13" i="30"/>
  <c r="F21" i="30"/>
  <c r="N7" i="41"/>
  <c r="O10" i="41"/>
  <c r="N14" i="41"/>
  <c r="N15" i="41"/>
  <c r="N16" i="41"/>
  <c r="O19" i="41"/>
  <c r="O24" i="41"/>
  <c r="G26" i="41"/>
  <c r="G27" i="41"/>
  <c r="N28" i="41"/>
  <c r="N29" i="41"/>
  <c r="O33" i="41"/>
  <c r="G35" i="41"/>
  <c r="G36" i="41"/>
  <c r="N37" i="41"/>
  <c r="N38" i="41"/>
  <c r="G40" i="41"/>
  <c r="G41" i="41"/>
  <c r="G42" i="41"/>
  <c r="G43" i="41"/>
  <c r="G44" i="41"/>
  <c r="G45" i="41"/>
  <c r="G46" i="41"/>
  <c r="G4" i="30"/>
  <c r="F7" i="30"/>
  <c r="G10" i="30"/>
  <c r="F16" i="30"/>
  <c r="G19" i="30"/>
  <c r="F31" i="41"/>
  <c r="N35" i="41"/>
  <c r="N40" i="41"/>
  <c r="N42" i="41"/>
  <c r="N44" i="41"/>
  <c r="N46" i="41"/>
  <c r="F22" i="30"/>
  <c r="O45" i="41"/>
  <c r="G4" i="41"/>
  <c r="N8" i="41"/>
  <c r="N9" i="41"/>
  <c r="O12" i="41"/>
  <c r="N17" i="41"/>
  <c r="N18" i="41"/>
  <c r="O21" i="41"/>
  <c r="N23" i="41"/>
  <c r="O26" i="41"/>
  <c r="G28" i="41"/>
  <c r="G29" i="41"/>
  <c r="N30" i="41"/>
  <c r="G31" i="41"/>
  <c r="N31" i="41"/>
  <c r="N32" i="41"/>
  <c r="O35" i="41"/>
  <c r="G37" i="41"/>
  <c r="G38" i="41"/>
  <c r="O40" i="41"/>
  <c r="O42" i="41"/>
  <c r="O44" i="41"/>
  <c r="O46" i="41"/>
  <c r="G6" i="30"/>
  <c r="F9" i="30"/>
  <c r="G12" i="30"/>
  <c r="F18" i="30"/>
  <c r="G21" i="30"/>
  <c r="I3" i="30"/>
  <c r="J3" i="30"/>
  <c r="F4" i="30"/>
  <c r="J4" i="30"/>
  <c r="F8" i="30"/>
  <c r="F10" i="30"/>
  <c r="F12" i="30"/>
  <c r="F14" i="30"/>
  <c r="F15" i="30"/>
  <c r="F17" i="30"/>
  <c r="I4" i="30"/>
  <c r="Q4" i="41"/>
  <c r="G6" i="41"/>
  <c r="F29" i="41"/>
  <c r="F32" i="41"/>
  <c r="F38" i="41"/>
  <c r="F41" i="41"/>
  <c r="O41" i="41"/>
  <c r="F43" i="41"/>
  <c r="O43" i="41"/>
  <c r="F45" i="41"/>
  <c r="Q3" i="41"/>
  <c r="F25" i="41"/>
  <c r="F24" i="41"/>
  <c r="F26" i="41"/>
  <c r="F28" i="41"/>
  <c r="F30" i="41"/>
  <c r="F33" i="41"/>
  <c r="F35" i="41"/>
  <c r="F37" i="41"/>
  <c r="F40" i="41"/>
  <c r="F42" i="41"/>
  <c r="F44" i="41"/>
  <c r="F46" i="41"/>
  <c r="F27" i="41"/>
  <c r="F34" i="41"/>
  <c r="A12" i="32"/>
  <c r="A11" i="32"/>
  <c r="A5" i="32"/>
  <c r="A4" i="32"/>
  <c r="A24" i="44"/>
  <c r="A23" i="44"/>
  <c r="A22" i="44"/>
  <c r="A21" i="44"/>
  <c r="A20" i="44"/>
  <c r="A19" i="44"/>
  <c r="A18" i="44"/>
  <c r="A17" i="44"/>
  <c r="A11" i="44"/>
  <c r="A10" i="44"/>
  <c r="A9" i="44"/>
  <c r="A8" i="44"/>
  <c r="A7" i="44"/>
  <c r="A6" i="44"/>
  <c r="A5" i="44"/>
  <c r="A4" i="44"/>
  <c r="J39" i="43" l="1"/>
  <c r="J40" i="43" s="1"/>
  <c r="J41" i="43" s="1"/>
  <c r="J42" i="43" s="1"/>
  <c r="J43" i="43" s="1"/>
  <c r="J44" i="43" s="1"/>
  <c r="J45" i="43" s="1"/>
  <c r="J46" i="43" s="1"/>
  <c r="B39" i="43"/>
  <c r="B40" i="43" s="1"/>
  <c r="B41" i="43" s="1"/>
  <c r="B42" i="43" s="1"/>
  <c r="B43" i="43" s="1"/>
  <c r="B44" i="43" s="1"/>
  <c r="B45" i="43" s="1"/>
  <c r="B46" i="43" s="1"/>
  <c r="J31" i="43"/>
  <c r="J32" i="43" s="1"/>
  <c r="J33" i="43" s="1"/>
  <c r="J34" i="43" s="1"/>
  <c r="J35" i="43" s="1"/>
  <c r="J36" i="43" s="1"/>
  <c r="J37" i="43" s="1"/>
  <c r="J38" i="43" s="1"/>
  <c r="B31" i="43"/>
  <c r="B32" i="43" s="1"/>
  <c r="B33" i="43" s="1"/>
  <c r="B34" i="43" s="1"/>
  <c r="B35" i="43" s="1"/>
  <c r="B36" i="43" s="1"/>
  <c r="B37" i="43" s="1"/>
  <c r="B38" i="43" s="1"/>
  <c r="J23" i="43"/>
  <c r="J24" i="43" s="1"/>
  <c r="J25" i="43" s="1"/>
  <c r="J26" i="43" s="1"/>
  <c r="J27" i="43" s="1"/>
  <c r="J28" i="43" s="1"/>
  <c r="J29" i="43" s="1"/>
  <c r="J30" i="43" s="1"/>
  <c r="B23" i="43"/>
  <c r="B24" i="43" s="1"/>
  <c r="B25" i="43" s="1"/>
  <c r="B26" i="43" s="1"/>
  <c r="B27" i="43" s="1"/>
  <c r="B28" i="43" s="1"/>
  <c r="B29" i="43" s="1"/>
  <c r="B30" i="43" s="1"/>
  <c r="J15" i="43"/>
  <c r="J16" i="43" s="1"/>
  <c r="J17" i="43" s="1"/>
  <c r="J18" i="43" s="1"/>
  <c r="J19" i="43" s="1"/>
  <c r="J20" i="43" s="1"/>
  <c r="J21" i="43" s="1"/>
  <c r="J22" i="43" s="1"/>
  <c r="J7" i="43"/>
  <c r="J8" i="43" s="1"/>
  <c r="J9" i="43" s="1"/>
  <c r="J10" i="43" s="1"/>
  <c r="J11" i="43" s="1"/>
  <c r="J12" i="43" s="1"/>
  <c r="J13" i="43" s="1"/>
  <c r="J14" i="43" s="1"/>
  <c r="I39" i="43" l="1"/>
  <c r="A39" i="43"/>
  <c r="I31" i="43"/>
  <c r="A31" i="43"/>
  <c r="I23" i="43"/>
  <c r="A23" i="43"/>
  <c r="I15" i="43"/>
  <c r="I7" i="43"/>
  <c r="A24" i="42"/>
  <c r="A23" i="42"/>
  <c r="A22" i="42"/>
  <c r="A21" i="42"/>
  <c r="A20" i="42"/>
  <c r="A19" i="42"/>
  <c r="A18" i="42"/>
  <c r="A17" i="42"/>
  <c r="A11" i="42"/>
  <c r="A10" i="42"/>
  <c r="A9" i="42"/>
  <c r="A8" i="42"/>
  <c r="A7" i="42"/>
  <c r="A6" i="42"/>
  <c r="A5" i="42"/>
  <c r="A4" i="42"/>
  <c r="D24" i="42"/>
  <c r="D19" i="42"/>
  <c r="D23" i="42"/>
  <c r="F23" i="42" s="1"/>
  <c r="G23" i="42" s="1"/>
  <c r="D18" i="42"/>
  <c r="D22" i="42"/>
  <c r="D17" i="42"/>
  <c r="D21" i="42"/>
  <c r="D20" i="42"/>
  <c r="D9" i="42" l="1"/>
  <c r="D10" i="42"/>
  <c r="D7" i="42"/>
  <c r="E7" i="42" s="1"/>
  <c r="D8" i="42"/>
  <c r="E10" i="42" l="1"/>
  <c r="F10" i="42"/>
  <c r="G10" i="42" s="1"/>
  <c r="B18" i="42"/>
  <c r="B5" i="42"/>
  <c r="I4" i="17" s="1"/>
  <c r="D5" i="42"/>
  <c r="F5" i="42" s="1"/>
  <c r="G5" i="42" s="1"/>
  <c r="D11" i="42"/>
  <c r="F11" i="42" s="1"/>
  <c r="G11" i="42" s="1"/>
  <c r="D6" i="42"/>
  <c r="E6" i="42" s="1"/>
  <c r="D4" i="42"/>
  <c r="E4" i="42" s="1"/>
  <c r="I5" i="42"/>
  <c r="K5" i="42" s="1"/>
  <c r="I20" i="42"/>
  <c r="L20" i="42" s="1"/>
  <c r="I7" i="42"/>
  <c r="L7" i="42" s="1"/>
  <c r="I11" i="42"/>
  <c r="L11" i="42" s="1"/>
  <c r="I9" i="42"/>
  <c r="K9" i="42" s="1"/>
  <c r="J8" i="17"/>
  <c r="I8" i="42"/>
  <c r="L8" i="42" s="1"/>
  <c r="I21" i="42"/>
  <c r="K21" i="42" s="1"/>
  <c r="I4" i="42"/>
  <c r="I6" i="42"/>
  <c r="F19" i="42"/>
  <c r="G19" i="42" s="1"/>
  <c r="I10" i="42"/>
  <c r="J5" i="17"/>
  <c r="K5" i="17"/>
  <c r="K7" i="17"/>
  <c r="K6" i="17"/>
  <c r="J3" i="17"/>
  <c r="J7" i="17"/>
  <c r="J6" i="17"/>
  <c r="F7" i="42"/>
  <c r="G7" i="42" s="1"/>
  <c r="B21" i="42"/>
  <c r="B8" i="42"/>
  <c r="B7" i="42"/>
  <c r="B20" i="42"/>
  <c r="B6" i="42"/>
  <c r="B19" i="42"/>
  <c r="I19" i="42"/>
  <c r="F9" i="42"/>
  <c r="G9" i="42" s="1"/>
  <c r="E9" i="42"/>
  <c r="B22" i="42"/>
  <c r="B9" i="42"/>
  <c r="I23" i="42"/>
  <c r="I22" i="42"/>
  <c r="B23" i="42"/>
  <c r="B10" i="42"/>
  <c r="B11" i="42"/>
  <c r="B24" i="42"/>
  <c r="I24" i="42"/>
  <c r="E8" i="42"/>
  <c r="F8" i="42"/>
  <c r="G8" i="42" s="1"/>
  <c r="B17" i="42"/>
  <c r="B4" i="42"/>
  <c r="I17" i="42"/>
  <c r="I18" i="42"/>
  <c r="E5" i="42" l="1"/>
  <c r="H5" i="42" s="1"/>
  <c r="J4" i="17" s="1"/>
  <c r="L21" i="42"/>
  <c r="E11" i="42"/>
  <c r="H11" i="42" s="1"/>
  <c r="J5" i="42"/>
  <c r="K20" i="42"/>
  <c r="J9" i="42"/>
  <c r="J7" i="42"/>
  <c r="F4" i="42"/>
  <c r="G4" i="42" s="1"/>
  <c r="C18" i="42"/>
  <c r="C5" i="42"/>
  <c r="H4" i="17" s="1"/>
  <c r="E19" i="42"/>
  <c r="H19" i="42" s="1"/>
  <c r="I3" i="17"/>
  <c r="C4" i="42"/>
  <c r="H3" i="17" s="1"/>
  <c r="C17" i="42"/>
  <c r="C10" i="42"/>
  <c r="H9" i="17" s="1"/>
  <c r="C23" i="42"/>
  <c r="C20" i="42"/>
  <c r="C7" i="42"/>
  <c r="H6" i="17" s="1"/>
  <c r="C24" i="42"/>
  <c r="C11" i="42"/>
  <c r="H10" i="17" s="1"/>
  <c r="J21" i="42"/>
  <c r="F6" i="42"/>
  <c r="G6" i="42" s="1"/>
  <c r="C22" i="42"/>
  <c r="C9" i="42"/>
  <c r="H8" i="17" s="1"/>
  <c r="J20" i="42"/>
  <c r="I5" i="17"/>
  <c r="C6" i="42"/>
  <c r="H5" i="17" s="1"/>
  <c r="C19" i="42"/>
  <c r="C8" i="42"/>
  <c r="H7" i="17" s="1"/>
  <c r="C21" i="42"/>
  <c r="K7" i="42"/>
  <c r="J8" i="42"/>
  <c r="K8" i="42"/>
  <c r="I9" i="17"/>
  <c r="I7" i="17"/>
  <c r="I10" i="17"/>
  <c r="I8" i="17"/>
  <c r="I6" i="17"/>
  <c r="K11" i="42"/>
  <c r="F17" i="42"/>
  <c r="G17" i="42" s="1"/>
  <c r="E17" i="42"/>
  <c r="L9" i="42"/>
  <c r="J11" i="42"/>
  <c r="L10" i="42"/>
  <c r="K10" i="42"/>
  <c r="J10" i="42"/>
  <c r="L5" i="42"/>
  <c r="H10" i="42"/>
  <c r="H7" i="42"/>
  <c r="H9" i="42"/>
  <c r="H8" i="42"/>
  <c r="L4" i="42"/>
  <c r="K4" i="42"/>
  <c r="J4" i="42"/>
  <c r="J19" i="42"/>
  <c r="K19" i="42"/>
  <c r="L19" i="42"/>
  <c r="L24" i="42"/>
  <c r="K24" i="42"/>
  <c r="J24" i="42"/>
  <c r="J23" i="42"/>
  <c r="K23" i="42"/>
  <c r="L23" i="42"/>
  <c r="K17" i="42"/>
  <c r="J17" i="42"/>
  <c r="L17" i="42"/>
  <c r="J18" i="42"/>
  <c r="L18" i="42"/>
  <c r="K18" i="42"/>
  <c r="E24" i="42"/>
  <c r="F24" i="42"/>
  <c r="G24" i="42" s="1"/>
  <c r="E23" i="42"/>
  <c r="K22" i="42"/>
  <c r="J22" i="42"/>
  <c r="L22" i="42"/>
  <c r="F22" i="42"/>
  <c r="G22" i="42" s="1"/>
  <c r="E22" i="42"/>
  <c r="F18" i="42"/>
  <c r="G18" i="42" s="1"/>
  <c r="E18" i="42"/>
  <c r="K6" i="42"/>
  <c r="J6" i="42"/>
  <c r="L6" i="42"/>
  <c r="E20" i="42"/>
  <c r="F20" i="42"/>
  <c r="G20" i="42" s="1"/>
  <c r="F21" i="42"/>
  <c r="G21" i="42" s="1"/>
  <c r="E21" i="42"/>
  <c r="M21" i="42" l="1"/>
  <c r="M20" i="42"/>
  <c r="M7" i="42"/>
  <c r="M5" i="42"/>
  <c r="M9" i="42"/>
  <c r="H4" i="42"/>
  <c r="H6" i="42"/>
  <c r="M8" i="42"/>
  <c r="H17" i="42"/>
  <c r="M11" i="42"/>
  <c r="J10" i="17" s="1"/>
  <c r="M17" i="42"/>
  <c r="M10" i="42"/>
  <c r="J9" i="17" s="1"/>
  <c r="M6" i="42"/>
  <c r="M22" i="42"/>
  <c r="H22" i="42"/>
  <c r="K8" i="17" s="1"/>
  <c r="M24" i="42"/>
  <c r="M18" i="42"/>
  <c r="M4" i="42"/>
  <c r="H18" i="42"/>
  <c r="K4" i="17" s="1"/>
  <c r="M19" i="42"/>
  <c r="M23" i="42"/>
  <c r="H20" i="42"/>
  <c r="H23" i="42"/>
  <c r="K9" i="17" s="1"/>
  <c r="H24" i="42"/>
  <c r="K10" i="17" s="1"/>
  <c r="H21" i="42"/>
  <c r="K3" i="17" l="1"/>
  <c r="D11" i="32" l="1"/>
  <c r="D4" i="32"/>
  <c r="D12" i="32"/>
  <c r="D5" i="32"/>
  <c r="E5" i="32" l="1"/>
  <c r="F5" i="32"/>
  <c r="G5" i="32" s="1"/>
  <c r="E4" i="32"/>
  <c r="F4" i="32"/>
  <c r="G4" i="32" s="1"/>
  <c r="H4" i="32" l="1"/>
  <c r="H5" i="32"/>
  <c r="I5" i="32" l="1"/>
  <c r="L5" i="32" s="1"/>
  <c r="I4" i="32"/>
  <c r="K4" i="32" s="1"/>
  <c r="I12" i="32"/>
  <c r="I11" i="32"/>
  <c r="B12" i="32"/>
  <c r="B5" i="32"/>
  <c r="B11" i="32"/>
  <c r="B4" i="32"/>
  <c r="N6" i="17"/>
  <c r="J4" i="32" l="1"/>
  <c r="L4" i="32"/>
  <c r="J5" i="32"/>
  <c r="K5" i="32"/>
  <c r="C11" i="32"/>
  <c r="C4" i="32"/>
  <c r="L6" i="17" s="1"/>
  <c r="C12" i="32"/>
  <c r="C5" i="32"/>
  <c r="L7" i="17" s="1"/>
  <c r="K11" i="32"/>
  <c r="J11" i="32"/>
  <c r="L11" i="32"/>
  <c r="K12" i="32"/>
  <c r="L12" i="32"/>
  <c r="J12" i="32"/>
  <c r="F12" i="32"/>
  <c r="G12" i="32" s="1"/>
  <c r="E12" i="32"/>
  <c r="M6" i="17"/>
  <c r="F11" i="32"/>
  <c r="G11" i="32" s="1"/>
  <c r="E11" i="32"/>
  <c r="M7" i="17"/>
  <c r="M5" i="32" l="1"/>
  <c r="M4" i="32"/>
  <c r="H11" i="32"/>
  <c r="O6" i="17" s="1"/>
  <c r="H12" i="32"/>
  <c r="M12" i="32"/>
  <c r="M11" i="32"/>
  <c r="N7" i="17"/>
  <c r="O7" i="17"/>
  <c r="C23" i="43" l="1"/>
  <c r="D23" i="43" l="1"/>
  <c r="E23" i="43" l="1"/>
  <c r="C24" i="43" l="1"/>
  <c r="D24" i="43" l="1"/>
  <c r="E24" i="43" l="1"/>
  <c r="C25" i="43" l="1"/>
  <c r="D25" i="43" l="1"/>
  <c r="E25" i="43" l="1"/>
  <c r="C26" i="43" l="1"/>
  <c r="D26" i="43" l="1"/>
  <c r="E26" i="43" l="1"/>
  <c r="C27" i="43" l="1"/>
  <c r="D27" i="43" l="1"/>
  <c r="E27" i="43" l="1"/>
  <c r="C28" i="43" l="1"/>
  <c r="D28" i="43" l="1"/>
  <c r="E28" i="43" l="1"/>
  <c r="C29" i="43" l="1"/>
  <c r="D29" i="43" l="1"/>
  <c r="E29" i="43" l="1"/>
  <c r="C30" i="43" l="1"/>
  <c r="D30" i="43" l="1"/>
  <c r="E30" i="43" l="1"/>
  <c r="C31" i="43" l="1"/>
  <c r="D31" i="43" l="1"/>
  <c r="E31" i="43" l="1"/>
  <c r="C32" i="43" l="1"/>
  <c r="D32" i="43" l="1"/>
  <c r="E32" i="43" l="1"/>
  <c r="C33" i="43" l="1"/>
  <c r="D33" i="43" l="1"/>
  <c r="E33" i="43" l="1"/>
  <c r="C34" i="43" l="1"/>
  <c r="D34" i="43" l="1"/>
  <c r="E34" i="43" l="1"/>
  <c r="C35" i="43" l="1"/>
  <c r="D35" i="43" l="1"/>
  <c r="E35" i="43" l="1"/>
  <c r="C36" i="43" l="1"/>
  <c r="D36" i="43" l="1"/>
  <c r="E36" i="43" l="1"/>
  <c r="C37" i="43" l="1"/>
  <c r="D37" i="43" l="1"/>
  <c r="E37" i="43" l="1"/>
  <c r="C38" i="43" l="1"/>
  <c r="D38" i="43" l="1"/>
  <c r="E38" i="43" l="1"/>
  <c r="C39" i="43" l="1"/>
  <c r="D39" i="43" l="1"/>
  <c r="E39" i="43" l="1"/>
  <c r="C40" i="43" l="1"/>
  <c r="D40" i="43" l="1"/>
  <c r="E40" i="43" l="1"/>
  <c r="C41" i="43" l="1"/>
  <c r="D41" i="43" l="1"/>
  <c r="E41" i="43" l="1"/>
  <c r="C42" i="43" l="1"/>
  <c r="D42" i="43" l="1"/>
  <c r="E42" i="43" l="1"/>
  <c r="C43" i="43" l="1"/>
  <c r="D43" i="43" l="1"/>
  <c r="E43" i="43" l="1"/>
  <c r="C44" i="43" l="1"/>
  <c r="D44" i="43" l="1"/>
  <c r="E44" i="43" l="1"/>
  <c r="C45" i="43" l="1"/>
  <c r="D45" i="43" l="1"/>
  <c r="E45" i="43" l="1"/>
  <c r="C46" i="43" l="1"/>
  <c r="D46" i="43" l="1"/>
  <c r="E46" i="43" l="1"/>
  <c r="K7" i="43" l="1"/>
  <c r="L7" i="43" l="1"/>
  <c r="M7" i="43" l="1"/>
  <c r="K8" i="43" l="1"/>
  <c r="M8" i="43" l="1"/>
  <c r="K9" i="43" l="1"/>
  <c r="L9" i="43" l="1"/>
  <c r="M9" i="43" l="1"/>
  <c r="K10" i="43" l="1"/>
  <c r="L10" i="43" l="1"/>
  <c r="M10" i="43" l="1"/>
  <c r="K11" i="43" l="1"/>
  <c r="L11" i="43" l="1"/>
  <c r="M11" i="43" l="1"/>
  <c r="K12" i="43" l="1"/>
  <c r="L12" i="43" l="1"/>
  <c r="M12" i="43" l="1"/>
  <c r="K13" i="43" l="1"/>
  <c r="L13" i="43" l="1"/>
  <c r="M13" i="43" l="1"/>
  <c r="K14" i="43" l="1"/>
  <c r="L14" i="43" l="1"/>
  <c r="M14" i="43" l="1"/>
  <c r="K15" i="43" l="1"/>
  <c r="L15" i="43" l="1"/>
  <c r="M15" i="43" l="1"/>
  <c r="K16" i="43" l="1"/>
  <c r="L16" i="43" l="1"/>
  <c r="M16" i="43" l="1"/>
  <c r="K17" i="43" l="1"/>
  <c r="L17" i="43" l="1"/>
  <c r="M17" i="43" l="1"/>
  <c r="K18" i="43" l="1"/>
  <c r="L18" i="43" l="1"/>
  <c r="M18" i="43" l="1"/>
  <c r="K19" i="43" l="1"/>
  <c r="L19" i="43" l="1"/>
  <c r="M19" i="43" l="1"/>
  <c r="K20" i="43" l="1"/>
  <c r="L20" i="43" l="1"/>
  <c r="M20" i="43" l="1"/>
  <c r="K21" i="43" l="1"/>
  <c r="L21" i="43" l="1"/>
  <c r="M21" i="43" l="1"/>
  <c r="K22" i="43" l="1"/>
  <c r="L22" i="43" l="1"/>
  <c r="M22" i="43" l="1"/>
  <c r="K23" i="43" l="1"/>
  <c r="L23" i="43" l="1"/>
  <c r="M23" i="43" l="1"/>
  <c r="K24" i="43" l="1"/>
  <c r="L24" i="43" l="1"/>
  <c r="M24" i="43" l="1"/>
  <c r="K25" i="43" l="1"/>
  <c r="L25" i="43" l="1"/>
  <c r="M25" i="43" l="1"/>
  <c r="K26" i="43" l="1"/>
  <c r="L26" i="43" l="1"/>
  <c r="M26" i="43" l="1"/>
  <c r="K27" i="43" l="1"/>
  <c r="L27" i="43" l="1"/>
  <c r="M27" i="43" l="1"/>
  <c r="K28" i="43" l="1"/>
  <c r="L28" i="43" l="1"/>
  <c r="M28" i="43" l="1"/>
  <c r="K29" i="43" l="1"/>
  <c r="L29" i="43" l="1"/>
  <c r="M29" i="43" l="1"/>
  <c r="K30" i="43" l="1"/>
  <c r="L30" i="43" l="1"/>
  <c r="M30" i="43" l="1"/>
  <c r="K31" i="43" l="1"/>
  <c r="L31" i="43" l="1"/>
  <c r="M31" i="43" l="1"/>
  <c r="K32" i="43" l="1"/>
  <c r="L32" i="43" l="1"/>
  <c r="M32" i="43" l="1"/>
  <c r="K33" i="43" l="1"/>
  <c r="L33" i="43" l="1"/>
  <c r="M33" i="43" l="1"/>
  <c r="K34" i="43" l="1"/>
  <c r="L34" i="43" l="1"/>
  <c r="M34" i="43" l="1"/>
  <c r="K35" i="43" l="1"/>
  <c r="L35" i="43" l="1"/>
  <c r="M35" i="43" l="1"/>
  <c r="K36" i="43" l="1"/>
  <c r="L36" i="43" l="1"/>
  <c r="M36" i="43" l="1"/>
  <c r="K37" i="43" l="1"/>
  <c r="L37" i="43" l="1"/>
  <c r="K38" i="43" l="1"/>
  <c r="L38" i="43" l="1"/>
  <c r="M38" i="43" l="1"/>
  <c r="K39" i="43" l="1"/>
  <c r="L39" i="43" l="1"/>
  <c r="M39" i="43" l="1"/>
  <c r="K40" i="43" l="1"/>
  <c r="L40" i="43" l="1"/>
  <c r="M40" i="43" l="1"/>
  <c r="K41" i="43" l="1"/>
  <c r="L41" i="43" l="1"/>
  <c r="M41" i="43" l="1"/>
  <c r="K42" i="43" l="1"/>
  <c r="L42" i="43" l="1"/>
  <c r="M42" i="43" l="1"/>
  <c r="K43" i="43" l="1"/>
  <c r="L43" i="43" l="1"/>
  <c r="M43" i="43" l="1"/>
  <c r="K44" i="43" l="1"/>
  <c r="L44" i="43" l="1"/>
  <c r="M44" i="43" l="1"/>
  <c r="K45" i="43" l="1"/>
  <c r="L45" i="43" l="1"/>
  <c r="M45" i="43" l="1"/>
  <c r="K46" i="43" l="1"/>
  <c r="L46" i="43" l="1"/>
  <c r="M46" i="43" l="1"/>
  <c r="C3" i="43" l="1"/>
  <c r="D3" i="43" l="1"/>
  <c r="E3" i="43" l="1"/>
  <c r="Q3" i="43" l="1"/>
  <c r="C4" i="43"/>
  <c r="R3" i="43"/>
  <c r="D4" i="43" l="1"/>
  <c r="E4" i="43" l="1"/>
  <c r="R4" i="43" l="1"/>
  <c r="F32" i="43"/>
  <c r="F33" i="43"/>
  <c r="N22" i="43"/>
  <c r="N17" i="43"/>
  <c r="N36" i="43"/>
  <c r="F42" i="43"/>
  <c r="N12" i="43"/>
  <c r="N41" i="43"/>
  <c r="F38" i="43"/>
  <c r="N37" i="43"/>
  <c r="N27" i="43"/>
  <c r="F36" i="43"/>
  <c r="N10" i="43"/>
  <c r="N16" i="43"/>
  <c r="F27" i="43"/>
  <c r="F28" i="43"/>
  <c r="F31" i="43"/>
  <c r="N42" i="43"/>
  <c r="F26" i="43"/>
  <c r="N7" i="43"/>
  <c r="F30" i="43"/>
  <c r="N35" i="43"/>
  <c r="N43" i="43"/>
  <c r="F43" i="43"/>
  <c r="N28" i="43"/>
  <c r="N30" i="43"/>
  <c r="N45" i="43"/>
  <c r="N29" i="43"/>
  <c r="N40" i="43"/>
  <c r="N13" i="43"/>
  <c r="F29" i="43"/>
  <c r="N14" i="43"/>
  <c r="F46" i="43"/>
  <c r="N26" i="43"/>
  <c r="N25" i="43"/>
  <c r="D9" i="44" s="1"/>
  <c r="F35" i="43"/>
  <c r="N33" i="43"/>
  <c r="N46" i="43"/>
  <c r="N34" i="43"/>
  <c r="N21" i="43"/>
  <c r="N38" i="43"/>
  <c r="F41" i="43"/>
  <c r="N18" i="43"/>
  <c r="F24" i="43"/>
  <c r="N20" i="43"/>
  <c r="N11" i="43"/>
  <c r="N24" i="43"/>
  <c r="F44" i="43"/>
  <c r="N39" i="43"/>
  <c r="F25" i="43"/>
  <c r="F23" i="43"/>
  <c r="F37" i="43"/>
  <c r="N19" i="43"/>
  <c r="N44" i="43"/>
  <c r="N31" i="43"/>
  <c r="N32" i="43"/>
  <c r="F45" i="43"/>
  <c r="N23" i="43"/>
  <c r="N9" i="43"/>
  <c r="F40" i="43"/>
  <c r="N15" i="43"/>
  <c r="F39" i="43"/>
  <c r="F34" i="43"/>
  <c r="N8" i="43"/>
  <c r="O30" i="43"/>
  <c r="G44" i="43"/>
  <c r="O23" i="43"/>
  <c r="O41" i="43"/>
  <c r="O40" i="43"/>
  <c r="G46" i="43"/>
  <c r="O31" i="43"/>
  <c r="O18" i="43"/>
  <c r="O42" i="43"/>
  <c r="O12" i="43"/>
  <c r="G28" i="43"/>
  <c r="O9" i="43"/>
  <c r="O15" i="43"/>
  <c r="G23" i="43"/>
  <c r="O46" i="43"/>
  <c r="O24" i="43"/>
  <c r="G24" i="43"/>
  <c r="G26" i="43"/>
  <c r="G31" i="43"/>
  <c r="G36" i="43"/>
  <c r="G42" i="43"/>
  <c r="G30" i="43"/>
  <c r="G39" i="43"/>
  <c r="O28" i="43"/>
  <c r="G32" i="43"/>
  <c r="O10" i="43"/>
  <c r="O36" i="43"/>
  <c r="O8" i="43"/>
  <c r="G38" i="43"/>
  <c r="O20" i="43"/>
  <c r="G40" i="43"/>
  <c r="O25" i="43"/>
  <c r="G37" i="43"/>
  <c r="O11" i="43"/>
  <c r="O21" i="43"/>
  <c r="O16" i="43"/>
  <c r="O43" i="43"/>
  <c r="O19" i="43"/>
  <c r="G34" i="43"/>
  <c r="G35" i="43"/>
  <c r="G41" i="43"/>
  <c r="G29" i="43"/>
  <c r="O27" i="43"/>
  <c r="O44" i="43"/>
  <c r="O35" i="43"/>
  <c r="O17" i="43"/>
  <c r="G45" i="43"/>
  <c r="G33" i="43"/>
  <c r="O26" i="43"/>
  <c r="O33" i="43"/>
  <c r="G43" i="43"/>
  <c r="O13" i="43"/>
  <c r="G25" i="43"/>
  <c r="O37" i="43"/>
  <c r="O39" i="43"/>
  <c r="O7" i="43"/>
  <c r="O34" i="43"/>
  <c r="O14" i="43"/>
  <c r="O22" i="43"/>
  <c r="O29" i="43"/>
  <c r="O45" i="43"/>
  <c r="G27" i="43"/>
  <c r="O38" i="43"/>
  <c r="I23" i="44" s="1"/>
  <c r="O32" i="43"/>
  <c r="G4" i="43"/>
  <c r="F4" i="43"/>
  <c r="Q4" i="43"/>
  <c r="C5" i="43"/>
  <c r="I10" i="44" l="1"/>
  <c r="J10" i="44" s="1"/>
  <c r="I21" i="44"/>
  <c r="I8" i="44"/>
  <c r="J8" i="44" s="1"/>
  <c r="I24" i="44"/>
  <c r="L24" i="44" s="1"/>
  <c r="D6" i="44"/>
  <c r="J23" i="44"/>
  <c r="L23" i="44"/>
  <c r="K23" i="44"/>
  <c r="G5" i="17"/>
  <c r="D18" i="44"/>
  <c r="F9" i="44"/>
  <c r="G9" i="44" s="1"/>
  <c r="E9" i="44"/>
  <c r="L8" i="44"/>
  <c r="K8" i="44"/>
  <c r="I20" i="44"/>
  <c r="I17" i="44"/>
  <c r="D17" i="44"/>
  <c r="I19" i="44"/>
  <c r="B6" i="44"/>
  <c r="B19" i="44"/>
  <c r="B9" i="44"/>
  <c r="B22" i="44"/>
  <c r="I11" i="44"/>
  <c r="I9" i="44"/>
  <c r="J21" i="44"/>
  <c r="L21" i="44"/>
  <c r="K21" i="44"/>
  <c r="J24" i="44"/>
  <c r="B23" i="44"/>
  <c r="B10" i="44"/>
  <c r="D4" i="44"/>
  <c r="B17" i="44"/>
  <c r="B4" i="44"/>
  <c r="D19" i="44"/>
  <c r="I18" i="44"/>
  <c r="D21" i="44"/>
  <c r="D24" i="44"/>
  <c r="I22" i="44"/>
  <c r="B21" i="44"/>
  <c r="B8" i="44"/>
  <c r="D8" i="44"/>
  <c r="B11" i="44"/>
  <c r="B24" i="44"/>
  <c r="I6" i="44"/>
  <c r="D11" i="44"/>
  <c r="I4" i="44"/>
  <c r="B5" i="44"/>
  <c r="D5" i="44"/>
  <c r="B18" i="44"/>
  <c r="I5" i="44"/>
  <c r="D23" i="44"/>
  <c r="D22" i="44"/>
  <c r="D20" i="44"/>
  <c r="D7" i="44"/>
  <c r="E6" i="44"/>
  <c r="F6" i="44"/>
  <c r="G6" i="44" s="1"/>
  <c r="D10" i="44"/>
  <c r="I7" i="44"/>
  <c r="B20" i="44"/>
  <c r="B7" i="44"/>
  <c r="D5" i="43"/>
  <c r="K24" i="44" l="1"/>
  <c r="M24" i="44" s="1"/>
  <c r="L10" i="44"/>
  <c r="K10" i="44"/>
  <c r="M23" i="44"/>
  <c r="H9" i="44"/>
  <c r="F8" i="17" s="1"/>
  <c r="M21" i="44"/>
  <c r="M8" i="44"/>
  <c r="F7" i="17" s="1"/>
  <c r="K7" i="44"/>
  <c r="J7" i="44"/>
  <c r="L7" i="44"/>
  <c r="M7" i="44"/>
  <c r="F6" i="17" s="1"/>
  <c r="E7" i="17"/>
  <c r="C21" i="44"/>
  <c r="C8" i="44"/>
  <c r="D7" i="17" s="1"/>
  <c r="F10" i="44"/>
  <c r="G10" i="44" s="1"/>
  <c r="E10" i="44"/>
  <c r="F20" i="44"/>
  <c r="G20" i="44" s="1"/>
  <c r="E20" i="44"/>
  <c r="J5" i="44"/>
  <c r="K5" i="44"/>
  <c r="L5" i="44"/>
  <c r="E4" i="17"/>
  <c r="C18" i="44"/>
  <c r="C5" i="44"/>
  <c r="D4" i="17" s="1"/>
  <c r="E8" i="17"/>
  <c r="C9" i="44"/>
  <c r="D8" i="17" s="1"/>
  <c r="C22" i="44"/>
  <c r="L19" i="44"/>
  <c r="K19" i="44"/>
  <c r="J19" i="44"/>
  <c r="M19" i="44" s="1"/>
  <c r="L20" i="44"/>
  <c r="K20" i="44"/>
  <c r="J20" i="44"/>
  <c r="M20" i="44"/>
  <c r="C20" i="44"/>
  <c r="C7" i="44"/>
  <c r="D6" i="17" s="1"/>
  <c r="E6" i="17"/>
  <c r="E10" i="17"/>
  <c r="C24" i="44"/>
  <c r="C11" i="44"/>
  <c r="D10" i="17" s="1"/>
  <c r="L22" i="44"/>
  <c r="J22" i="44"/>
  <c r="K22" i="44"/>
  <c r="L18" i="44"/>
  <c r="K18" i="44"/>
  <c r="J18" i="44"/>
  <c r="M18" i="44" s="1"/>
  <c r="E4" i="44"/>
  <c r="F4" i="44"/>
  <c r="G4" i="44" s="1"/>
  <c r="L9" i="44"/>
  <c r="J9" i="44"/>
  <c r="K9" i="44"/>
  <c r="F23" i="44"/>
  <c r="G23" i="44" s="1"/>
  <c r="E23" i="44"/>
  <c r="E22" i="44"/>
  <c r="F22" i="44"/>
  <c r="G22" i="44" s="1"/>
  <c r="J4" i="44"/>
  <c r="L4" i="44"/>
  <c r="K4" i="44"/>
  <c r="H6" i="44"/>
  <c r="F5" i="44"/>
  <c r="G5" i="44" s="1"/>
  <c r="E5" i="44"/>
  <c r="F11" i="44"/>
  <c r="G11" i="44" s="1"/>
  <c r="E11" i="44"/>
  <c r="M10" i="44"/>
  <c r="E8" i="44"/>
  <c r="F8" i="44"/>
  <c r="G8" i="44" s="1"/>
  <c r="E24" i="44"/>
  <c r="F24" i="44"/>
  <c r="G24" i="44" s="1"/>
  <c r="E19" i="44"/>
  <c r="F19" i="44"/>
  <c r="G19" i="44" s="1"/>
  <c r="H19" i="44"/>
  <c r="C23" i="44"/>
  <c r="E9" i="17"/>
  <c r="C10" i="44"/>
  <c r="D9" i="17" s="1"/>
  <c r="J11" i="44"/>
  <c r="L11" i="44"/>
  <c r="K11" i="44"/>
  <c r="E17" i="44"/>
  <c r="F17" i="44"/>
  <c r="G17" i="44" s="1"/>
  <c r="F7" i="44"/>
  <c r="G7" i="44" s="1"/>
  <c r="E7" i="44"/>
  <c r="L6" i="44"/>
  <c r="J6" i="44"/>
  <c r="K6" i="44"/>
  <c r="F21" i="44"/>
  <c r="G21" i="44" s="1"/>
  <c r="E21" i="44"/>
  <c r="C4" i="44"/>
  <c r="D3" i="17" s="1"/>
  <c r="C17" i="44"/>
  <c r="E3" i="17"/>
  <c r="E5" i="17"/>
  <c r="C6" i="44"/>
  <c r="D5" i="17" s="1"/>
  <c r="C19" i="44"/>
  <c r="K17" i="44"/>
  <c r="J17" i="44"/>
  <c r="L17" i="44"/>
  <c r="F18" i="44"/>
  <c r="G18" i="44" s="1"/>
  <c r="E18" i="44"/>
  <c r="E5" i="43"/>
  <c r="F5" i="43" s="1"/>
  <c r="H11" i="44" l="1"/>
  <c r="H5" i="44"/>
  <c r="F4" i="17" s="1"/>
  <c r="H23" i="44"/>
  <c r="G9" i="17" s="1"/>
  <c r="M22" i="44"/>
  <c r="H8" i="44"/>
  <c r="H7" i="44"/>
  <c r="M11" i="44"/>
  <c r="F10" i="17" s="1"/>
  <c r="M17" i="44"/>
  <c r="H21" i="44"/>
  <c r="G7" i="17" s="1"/>
  <c r="H18" i="44"/>
  <c r="G4" i="17" s="1"/>
  <c r="M6" i="44"/>
  <c r="F5" i="17" s="1"/>
  <c r="H17" i="44"/>
  <c r="G3" i="17" s="1"/>
  <c r="M4" i="44"/>
  <c r="H22" i="44"/>
  <c r="G8" i="17" s="1"/>
  <c r="M9" i="44"/>
  <c r="H20" i="44"/>
  <c r="G6" i="17" s="1"/>
  <c r="M5" i="44"/>
  <c r="G5" i="43"/>
  <c r="H10" i="44"/>
  <c r="F9" i="17" s="1"/>
  <c r="H24" i="44"/>
  <c r="G10" i="17" s="1"/>
  <c r="H4" i="44"/>
  <c r="C6" i="43"/>
  <c r="F3" i="17" l="1"/>
  <c r="D6" i="43"/>
  <c r="E6" i="43" l="1"/>
  <c r="F6" i="43" l="1"/>
  <c r="G6" i="43"/>
</calcChain>
</file>

<file path=xl/sharedStrings.xml><?xml version="1.0" encoding="utf-8"?>
<sst xmlns="http://schemas.openxmlformats.org/spreadsheetml/2006/main" count="976" uniqueCount="330">
  <si>
    <t>Treatment</t>
  </si>
  <si>
    <t>Compound</t>
  </si>
  <si>
    <t>P2</t>
  </si>
  <si>
    <t>A01 1</t>
  </si>
  <si>
    <t>% of This Plot</t>
  </si>
  <si>
    <t>A02 2</t>
  </si>
  <si>
    <t>A03 3</t>
  </si>
  <si>
    <t>A04 4</t>
  </si>
  <si>
    <t>A05 5</t>
  </si>
  <si>
    <t>A06 6</t>
  </si>
  <si>
    <t>A07 7</t>
  </si>
  <si>
    <t>A08 8</t>
  </si>
  <si>
    <t>A09 9</t>
  </si>
  <si>
    <t>A10 10</t>
  </si>
  <si>
    <t>A12 12</t>
  </si>
  <si>
    <t>B01 13</t>
  </si>
  <si>
    <t>B02 14</t>
  </si>
  <si>
    <t>B03 15</t>
  </si>
  <si>
    <t>B04 16</t>
  </si>
  <si>
    <t>B05 17</t>
  </si>
  <si>
    <t>B06 18</t>
  </si>
  <si>
    <t>B07 19</t>
  </si>
  <si>
    <t>B08 20</t>
  </si>
  <si>
    <t>B09 21</t>
  </si>
  <si>
    <t>B10 22</t>
  </si>
  <si>
    <t>B12 24</t>
  </si>
  <si>
    <t>C01 25</t>
  </si>
  <si>
    <t>C02 26</t>
  </si>
  <si>
    <t>C03 27</t>
  </si>
  <si>
    <t>C04 28</t>
  </si>
  <si>
    <t>C05 29</t>
  </si>
  <si>
    <t>C06 30</t>
  </si>
  <si>
    <t>C07 31</t>
  </si>
  <si>
    <t>C08 32</t>
  </si>
  <si>
    <t>C09 33</t>
  </si>
  <si>
    <t>C10 34</t>
  </si>
  <si>
    <t>C11 35</t>
  </si>
  <si>
    <t>C12 36</t>
  </si>
  <si>
    <t>D01 37</t>
  </si>
  <si>
    <t>D02 38</t>
  </si>
  <si>
    <t>D03 39</t>
  </si>
  <si>
    <t>D04 40</t>
  </si>
  <si>
    <t>D05 41</t>
  </si>
  <si>
    <t>D06 42</t>
  </si>
  <si>
    <t>D07 43</t>
  </si>
  <si>
    <t>D08 44</t>
  </si>
  <si>
    <t>D09 45</t>
  </si>
  <si>
    <t>D10 46</t>
  </si>
  <si>
    <t>D11 47</t>
  </si>
  <si>
    <t>D12 48</t>
  </si>
  <si>
    <t>E02 50</t>
  </si>
  <si>
    <t>E03 51</t>
  </si>
  <si>
    <t>E04 52</t>
  </si>
  <si>
    <t>E05 53</t>
  </si>
  <si>
    <t>E06 54</t>
  </si>
  <si>
    <t>E07 55</t>
  </si>
  <si>
    <t>E08 56</t>
  </si>
  <si>
    <t>E09 57</t>
  </si>
  <si>
    <t>E10 58</t>
  </si>
  <si>
    <t>E11 59</t>
  </si>
  <si>
    <t>E12 60</t>
  </si>
  <si>
    <t>F01 61</t>
  </si>
  <si>
    <t>F02 62</t>
  </si>
  <si>
    <t>F04 64</t>
  </si>
  <si>
    <t>F05 65</t>
  </si>
  <si>
    <t>F06 66</t>
  </si>
  <si>
    <t>F07 67</t>
  </si>
  <si>
    <t>F08 68</t>
  </si>
  <si>
    <t>F09 69</t>
  </si>
  <si>
    <t>F10 70</t>
  </si>
  <si>
    <t>F11 71</t>
  </si>
  <si>
    <t>F12 72</t>
  </si>
  <si>
    <t>G01 73</t>
  </si>
  <si>
    <t>G02 74</t>
  </si>
  <si>
    <t>G03 75</t>
  </si>
  <si>
    <t>G04 76</t>
  </si>
  <si>
    <t>G05 77</t>
  </si>
  <si>
    <t>G06 78</t>
  </si>
  <si>
    <t>G07 79</t>
  </si>
  <si>
    <t>G08 80</t>
  </si>
  <si>
    <t>G09 81</t>
  </si>
  <si>
    <t>G10 82</t>
  </si>
  <si>
    <t>G11 83</t>
  </si>
  <si>
    <t>A11 11</t>
  </si>
  <si>
    <t>B11 23</t>
  </si>
  <si>
    <t>E01 49</t>
  </si>
  <si>
    <t>F03 63</t>
  </si>
  <si>
    <t>Starting Concentration</t>
  </si>
  <si>
    <t>Solvent</t>
  </si>
  <si>
    <t>Media</t>
  </si>
  <si>
    <t>0.2% DMSO</t>
  </si>
  <si>
    <t>CD86</t>
  </si>
  <si>
    <t>CD54</t>
  </si>
  <si>
    <t>Plot 4 (FSC-A/FL1-A)</t>
  </si>
  <si>
    <t>This Plot</t>
  </si>
  <si>
    <t>Mean FL1-A</t>
  </si>
  <si>
    <t>G12 84</t>
  </si>
  <si>
    <t>H01 85</t>
  </si>
  <si>
    <t>H02 86</t>
  </si>
  <si>
    <t>H03 87</t>
  </si>
  <si>
    <t>H04 88</t>
  </si>
  <si>
    <t>H05 89</t>
  </si>
  <si>
    <t>H06 90</t>
  </si>
  <si>
    <t>H07 91</t>
  </si>
  <si>
    <t>H08 92</t>
  </si>
  <si>
    <t>H09 93</t>
  </si>
  <si>
    <t>H10 94</t>
  </si>
  <si>
    <t>H11 95</t>
  </si>
  <si>
    <t>H12 96</t>
  </si>
  <si>
    <t>A01 97</t>
  </si>
  <si>
    <t>A02 98</t>
  </si>
  <si>
    <t>A03 99</t>
  </si>
  <si>
    <t>A04 100</t>
  </si>
  <si>
    <t>A05 101</t>
  </si>
  <si>
    <t>A06 102</t>
  </si>
  <si>
    <t>A07 103</t>
  </si>
  <si>
    <t>A08 104</t>
  </si>
  <si>
    <t>A09 105</t>
  </si>
  <si>
    <t>A10 106</t>
  </si>
  <si>
    <t>A11 107</t>
  </si>
  <si>
    <t>A12 108</t>
  </si>
  <si>
    <t>B01 109</t>
  </si>
  <si>
    <t>B02 110</t>
  </si>
  <si>
    <t>B03 111</t>
  </si>
  <si>
    <t>B04 112</t>
  </si>
  <si>
    <t>B05 113</t>
  </si>
  <si>
    <t>B06 114</t>
  </si>
  <si>
    <t>B07 115</t>
  </si>
  <si>
    <t>B08 116</t>
  </si>
  <si>
    <t>B09 117</t>
  </si>
  <si>
    <t>B10 118</t>
  </si>
  <si>
    <t>B11 119</t>
  </si>
  <si>
    <t>B12 120</t>
  </si>
  <si>
    <t>C01 121</t>
  </si>
  <si>
    <t>C02 122</t>
  </si>
  <si>
    <t>C03 123</t>
  </si>
  <si>
    <t>C04 124</t>
  </si>
  <si>
    <t>C05 125</t>
  </si>
  <si>
    <t>C06 126</t>
  </si>
  <si>
    <t>C07 127</t>
  </si>
  <si>
    <t>C08 128</t>
  </si>
  <si>
    <t>C09 129</t>
  </si>
  <si>
    <t>C10 130</t>
  </si>
  <si>
    <t>C11 131</t>
  </si>
  <si>
    <t>C12 132</t>
  </si>
  <si>
    <t>D01 133</t>
  </si>
  <si>
    <t>D02 134</t>
  </si>
  <si>
    <t>D03 135</t>
  </si>
  <si>
    <t>D04 136</t>
  </si>
  <si>
    <t>D05 137</t>
  </si>
  <si>
    <t>D06 138</t>
  </si>
  <si>
    <t>D07 139</t>
  </si>
  <si>
    <t>D08 140</t>
  </si>
  <si>
    <t>D09 141</t>
  </si>
  <si>
    <t>D10 142</t>
  </si>
  <si>
    <t>D11 143</t>
  </si>
  <si>
    <t>D12 144</t>
  </si>
  <si>
    <t>E01 145</t>
  </si>
  <si>
    <t>E02 146</t>
  </si>
  <si>
    <t>E03 147</t>
  </si>
  <si>
    <t>E04 148</t>
  </si>
  <si>
    <t>E05 149</t>
  </si>
  <si>
    <t>E06 150</t>
  </si>
  <si>
    <t>E07 151</t>
  </si>
  <si>
    <t>E08 152</t>
  </si>
  <si>
    <t>E09 153</t>
  </si>
  <si>
    <t>E10 154</t>
  </si>
  <si>
    <t>E11 155</t>
  </si>
  <si>
    <t>E12 156</t>
  </si>
  <si>
    <t>F01 157</t>
  </si>
  <si>
    <t>F02 158</t>
  </si>
  <si>
    <t>F03 159</t>
  </si>
  <si>
    <t>F04 160</t>
  </si>
  <si>
    <t>F05 161</t>
  </si>
  <si>
    <t>F06 162</t>
  </si>
  <si>
    <t>F07 163</t>
  </si>
  <si>
    <t>F08 164</t>
  </si>
  <si>
    <t>F09 165</t>
  </si>
  <si>
    <t>F10 166</t>
  </si>
  <si>
    <t>F11 167</t>
  </si>
  <si>
    <t>F12 168</t>
  </si>
  <si>
    <t>G01 169</t>
  </si>
  <si>
    <t>G02 170</t>
  </si>
  <si>
    <t>G03 171</t>
  </si>
  <si>
    <t>G04 172</t>
  </si>
  <si>
    <t>G05 173</t>
  </si>
  <si>
    <t>G06 174</t>
  </si>
  <si>
    <t>G07 175</t>
  </si>
  <si>
    <t>G08 176</t>
  </si>
  <si>
    <t>G09 177</t>
  </si>
  <si>
    <t>G10 178</t>
  </si>
  <si>
    <t>G11 179</t>
  </si>
  <si>
    <t>G12 180</t>
  </si>
  <si>
    <t>H01 181</t>
  </si>
  <si>
    <t>H02 182</t>
  </si>
  <si>
    <t>H03 183</t>
  </si>
  <si>
    <t>H04 184</t>
  </si>
  <si>
    <t>H05 185</t>
  </si>
  <si>
    <t>H06 186</t>
  </si>
  <si>
    <t>H07 187</t>
  </si>
  <si>
    <t>H08 188</t>
  </si>
  <si>
    <t>H09 189</t>
  </si>
  <si>
    <t>H10 190</t>
  </si>
  <si>
    <t>H11 191</t>
  </si>
  <si>
    <t>H12 192</t>
  </si>
  <si>
    <t>A01 193</t>
  </si>
  <si>
    <t>A02 194</t>
  </si>
  <si>
    <t>A03 195</t>
  </si>
  <si>
    <t>A04 196</t>
  </si>
  <si>
    <t>A05 197</t>
  </si>
  <si>
    <t>A06 198</t>
  </si>
  <si>
    <t>A07 199</t>
  </si>
  <si>
    <t>A08 200</t>
  </si>
  <si>
    <t>A09 201</t>
  </si>
  <si>
    <t>A10 202</t>
  </si>
  <si>
    <t>A11 203</t>
  </si>
  <si>
    <t>A12 204</t>
  </si>
  <si>
    <t>B01 205</t>
  </si>
  <si>
    <t>B02 206</t>
  </si>
  <si>
    <t>B03 207</t>
  </si>
  <si>
    <t>B04 208</t>
  </si>
  <si>
    <t>B05 209</t>
  </si>
  <si>
    <t>B06 210</t>
  </si>
  <si>
    <t>B07 211</t>
  </si>
  <si>
    <t>B08 212</t>
  </si>
  <si>
    <t>B09 213</t>
  </si>
  <si>
    <t>B10 214</t>
  </si>
  <si>
    <t>B11 215</t>
  </si>
  <si>
    <t>B12 216</t>
  </si>
  <si>
    <t>C01 217</t>
  </si>
  <si>
    <t>C02 218</t>
  </si>
  <si>
    <t>C03 219</t>
  </si>
  <si>
    <t>C04 220</t>
  </si>
  <si>
    <t>C05 221</t>
  </si>
  <si>
    <t>C06 222</t>
  </si>
  <si>
    <t>C07 223</t>
  </si>
  <si>
    <t>C08 224</t>
  </si>
  <si>
    <t>C09 225</t>
  </si>
  <si>
    <t>C10 226</t>
  </si>
  <si>
    <t>C11 227</t>
  </si>
  <si>
    <t>C12 228</t>
  </si>
  <si>
    <t>D01 229</t>
  </si>
  <si>
    <t>D02 230</t>
  </si>
  <si>
    <t>D03 231</t>
  </si>
  <si>
    <t>D04 232</t>
  </si>
  <si>
    <t>D05 233</t>
  </si>
  <si>
    <t>D06 234</t>
  </si>
  <si>
    <t>D07 235</t>
  </si>
  <si>
    <t>D08 236</t>
  </si>
  <si>
    <t>D09 237</t>
  </si>
  <si>
    <t>D10 238</t>
  </si>
  <si>
    <t>D11 239</t>
  </si>
  <si>
    <t>D12 240</t>
  </si>
  <si>
    <t>E01 241</t>
  </si>
  <si>
    <t>E02 242</t>
  </si>
  <si>
    <t>E03 243</t>
  </si>
  <si>
    <t>E04 244</t>
  </si>
  <si>
    <t>E05 245</t>
  </si>
  <si>
    <t>E06 246</t>
  </si>
  <si>
    <t>E07 247</t>
  </si>
  <si>
    <t>E08 248</t>
  </si>
  <si>
    <t>E09 249</t>
  </si>
  <si>
    <t>Viability (FSC-A/FL2-A)</t>
  </si>
  <si>
    <r>
      <t>IgG</t>
    </r>
    <r>
      <rPr>
        <b/>
        <vertAlign val="subscript"/>
        <sz val="11"/>
        <color theme="1"/>
        <rFont val="Calibri"/>
        <family val="2"/>
        <scheme val="minor"/>
      </rPr>
      <t>1</t>
    </r>
  </si>
  <si>
    <t>CD86 RFI</t>
  </si>
  <si>
    <t>CD54 RFI</t>
  </si>
  <si>
    <t>EC150</t>
  </si>
  <si>
    <t>EC200</t>
  </si>
  <si>
    <t>Pass Viability</t>
  </si>
  <si>
    <t>Linear Calculations</t>
  </si>
  <si>
    <t>Log-Linear Calculations</t>
  </si>
  <si>
    <t>Classification</t>
  </si>
  <si>
    <t>Run 1</t>
  </si>
  <si>
    <t>Run 2</t>
  </si>
  <si>
    <t>Run 3</t>
  </si>
  <si>
    <t>Controls</t>
  </si>
  <si>
    <t>IgG1 Viability</t>
  </si>
  <si>
    <t/>
  </si>
  <si>
    <t>ADose</t>
  </si>
  <si>
    <t>ARFI</t>
  </si>
  <si>
    <t>BDose</t>
  </si>
  <si>
    <t>BRFI</t>
  </si>
  <si>
    <t>CD86 Ratio</t>
  </si>
  <si>
    <t>CD54 Ratio</t>
  </si>
  <si>
    <r>
      <t xml:space="preserve">4.0 </t>
    </r>
    <r>
      <rPr>
        <sz val="11"/>
        <color theme="1"/>
        <rFont val="Calibri"/>
        <family val="2"/>
      </rPr>
      <t>µ</t>
    </r>
    <r>
      <rPr>
        <sz val="9.35"/>
        <color theme="1"/>
        <rFont val="Calibri"/>
        <family val="2"/>
      </rPr>
      <t>g/ml DNCB</t>
    </r>
  </si>
  <si>
    <r>
      <t xml:space="preserve">3.3 </t>
    </r>
    <r>
      <rPr>
        <sz val="11"/>
        <color theme="1"/>
        <rFont val="Calibri"/>
        <family val="2"/>
      </rPr>
      <t>µ</t>
    </r>
    <r>
      <rPr>
        <sz val="9.35"/>
        <color theme="1"/>
        <rFont val="Calibri"/>
        <family val="2"/>
      </rPr>
      <t>g/ml DNCB</t>
    </r>
  </si>
  <si>
    <r>
      <t xml:space="preserve">4.0 </t>
    </r>
    <r>
      <rPr>
        <sz val="11"/>
        <color theme="1"/>
        <rFont val="Calibri"/>
        <family val="2"/>
        <scheme val="minor"/>
      </rPr>
      <t>µ</t>
    </r>
    <r>
      <rPr>
        <sz val="9.35"/>
        <color theme="1"/>
        <rFont val="Calibri"/>
        <family val="2"/>
        <scheme val="minor"/>
      </rPr>
      <t>g/ml DNCB</t>
    </r>
  </si>
  <si>
    <r>
      <t xml:space="preserve">3.3 </t>
    </r>
    <r>
      <rPr>
        <sz val="11"/>
        <color theme="1"/>
        <rFont val="Calibri"/>
        <family val="2"/>
        <scheme val="minor"/>
      </rPr>
      <t>µ</t>
    </r>
    <r>
      <rPr>
        <sz val="9.35"/>
        <color theme="1"/>
        <rFont val="Calibri"/>
        <family val="2"/>
        <scheme val="minor"/>
      </rPr>
      <t>g/ml DNCB</t>
    </r>
  </si>
  <si>
    <t>Adose</t>
  </si>
  <si>
    <t>DMSO</t>
  </si>
  <si>
    <t>Plot 3 (FL1-A)</t>
  </si>
  <si>
    <t>Viability (FL3-A)</t>
  </si>
  <si>
    <t>V1-L</t>
  </si>
  <si>
    <r>
      <t xml:space="preserve">4.0 </t>
    </r>
    <r>
      <rPr>
        <sz val="11"/>
        <color theme="1"/>
        <rFont val="Calibri"/>
        <family val="2"/>
      </rPr>
      <t>µg/ml DNCB</t>
    </r>
  </si>
  <si>
    <r>
      <t xml:space="preserve">3.3 </t>
    </r>
    <r>
      <rPr>
        <sz val="11"/>
        <color theme="1"/>
        <rFont val="Calibri"/>
        <family val="2"/>
      </rPr>
      <t>µg/ml DNCB</t>
    </r>
  </si>
  <si>
    <t>Second DNCB point was intended as back-up and was not needed for run to pass.</t>
  </si>
  <si>
    <t>CASRN</t>
  </si>
  <si>
    <t>80-05-7</t>
  </si>
  <si>
    <t>1478-61-1</t>
  </si>
  <si>
    <t>80-09-1</t>
  </si>
  <si>
    <t>5397-34-2</t>
  </si>
  <si>
    <t>77-40-7</t>
  </si>
  <si>
    <t>1571-75-1</t>
  </si>
  <si>
    <t>2467-02-9</t>
  </si>
  <si>
    <t>2081-08-5</t>
  </si>
  <si>
    <t>Common Name</t>
  </si>
  <si>
    <t>4,4′-(Propane-2,2-diyl)diphenol</t>
  </si>
  <si>
    <t>4,4′-(1,1,1,3,3,3-Hexafluoropropane-2,2-diyl)diphenol</t>
  </si>
  <si>
    <t>4,4′-Sulfonyldiphenol</t>
  </si>
  <si>
    <t>2-(4-hydroxyphenyl)sulfonylphenol</t>
  </si>
  <si>
    <t>4,4′-Methylenediphenol</t>
  </si>
  <si>
    <t>4,4'-(Butane-2,2-diyl)diphenol</t>
  </si>
  <si>
    <t>4,4'-(1-Phenylethylidene) biphenol</t>
  </si>
  <si>
    <t>4,4′-(1,1-Ethanediyl)diphenol</t>
  </si>
  <si>
    <t>Bisphenol A, BPA</t>
  </si>
  <si>
    <t>Bisphenol AF, BPAF</t>
  </si>
  <si>
    <t>Bisphenol S, BPS</t>
  </si>
  <si>
    <t>2,4-Bisphenol S, 2,4-BPS</t>
  </si>
  <si>
    <t>Bisphenol F, BPF</t>
  </si>
  <si>
    <t>Bisphenol B, BPB</t>
  </si>
  <si>
    <t>Bisphenol AP, BPAP</t>
  </si>
  <si>
    <t>Bisphenol E, BPE</t>
  </si>
  <si>
    <t>BPA</t>
  </si>
  <si>
    <t>BPAF</t>
  </si>
  <si>
    <t>BPS</t>
  </si>
  <si>
    <t>2,4-BPS</t>
  </si>
  <si>
    <t>BPF</t>
  </si>
  <si>
    <t>BPB</t>
  </si>
  <si>
    <t>BPAP</t>
  </si>
  <si>
    <t>BPE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</si>
</sst>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&quot; µg/ml&quot;"/>
    <numFmt numFmtId="165" formatCode="0&quot; µg/ml&quot;"/>
    <numFmt numFmtId="166" formatCode="0.0"/>
    <numFmt numFmtId="167" formatCode="0.00&quot; µg/ml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6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9.35"/>
      <color theme="1"/>
      <name val="Calibri"/>
      <family val="2"/>
    </font>
    <font>
      <sz val="9.35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5">
    <xf numFmtId="0" fontId="0" fillId="0" borderId="0" xfId="0"/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2" fillId="0" borderId="0" xfId="0" applyNumberFormat="1" applyFont="1" applyAlignment="1">
      <alignment horizontal="center"/>
    </xf>
    <xf numFmtId="10" fontId="0" fillId="0" borderId="0" xfId="0" applyNumberFormat="1"/>
    <xf numFmtId="0" fontId="0" fillId="0" borderId="3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5" fontId="0" fillId="0" borderId="3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/>
    </xf>
    <xf numFmtId="4" fontId="0" fillId="0" borderId="0" xfId="0" applyNumberFormat="1"/>
    <xf numFmtId="2" fontId="0" fillId="0" borderId="0" xfId="0" applyNumberFormat="1"/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6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2" fontId="0" fillId="0" borderId="22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2" fontId="0" fillId="2" borderId="22" xfId="0" applyNumberFormat="1" applyFill="1" applyBorder="1" applyAlignment="1">
      <alignment horizontal="center"/>
    </xf>
    <xf numFmtId="2" fontId="0" fillId="2" borderId="27" xfId="0" applyNumberFormat="1" applyFill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2" fontId="0" fillId="0" borderId="44" xfId="0" applyNumberFormat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166" fontId="0" fillId="0" borderId="0" xfId="0" quotePrefix="1" applyNumberFormat="1" applyAlignment="1">
      <alignment horizontal="center"/>
    </xf>
    <xf numFmtId="0" fontId="0" fillId="0" borderId="5" xfId="0" applyBorder="1" applyAlignment="1">
      <alignment horizontal="center" wrapText="1"/>
    </xf>
    <xf numFmtId="2" fontId="0" fillId="2" borderId="35" xfId="0" applyNumberFormat="1" applyFill="1" applyBorder="1" applyAlignment="1">
      <alignment horizontal="center"/>
    </xf>
    <xf numFmtId="2" fontId="0" fillId="2" borderId="31" xfId="0" applyNumberFormat="1" applyFill="1" applyBorder="1" applyAlignment="1">
      <alignment horizontal="center"/>
    </xf>
    <xf numFmtId="2" fontId="0" fillId="2" borderId="50" xfId="0" applyNumberFormat="1" applyFill="1" applyBorder="1" applyAlignment="1">
      <alignment horizontal="center"/>
    </xf>
    <xf numFmtId="2" fontId="0" fillId="2" borderId="25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0" fillId="2" borderId="49" xfId="0" applyNumberFormat="1" applyFill="1" applyBorder="1" applyAlignment="1">
      <alignment horizontal="center"/>
    </xf>
    <xf numFmtId="2" fontId="0" fillId="2" borderId="30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6" fontId="0" fillId="0" borderId="0" xfId="0" applyNumberFormat="1"/>
    <xf numFmtId="2" fontId="0" fillId="0" borderId="7" xfId="0" applyNumberFormat="1" applyBorder="1" applyAlignment="1">
      <alignment horizontal="center"/>
    </xf>
    <xf numFmtId="0" fontId="6" fillId="0" borderId="0" xfId="0" applyFont="1"/>
    <xf numFmtId="2" fontId="0" fillId="0" borderId="52" xfId="0" applyNumberFormat="1" applyBorder="1" applyAlignment="1">
      <alignment horizontal="center"/>
    </xf>
    <xf numFmtId="2" fontId="0" fillId="0" borderId="53" xfId="0" applyNumberFormat="1" applyBorder="1" applyAlignment="1">
      <alignment horizontal="center"/>
    </xf>
    <xf numFmtId="2" fontId="0" fillId="0" borderId="54" xfId="0" applyNumberFormat="1" applyBorder="1" applyAlignment="1">
      <alignment horizontal="center"/>
    </xf>
    <xf numFmtId="2" fontId="0" fillId="0" borderId="55" xfId="0" applyNumberFormat="1" applyBorder="1" applyAlignment="1">
      <alignment horizontal="center"/>
    </xf>
    <xf numFmtId="0" fontId="1" fillId="0" borderId="51" xfId="0" applyFont="1" applyBorder="1" applyAlignment="1">
      <alignment horizontal="center" vertical="center" wrapText="1"/>
    </xf>
    <xf numFmtId="2" fontId="0" fillId="2" borderId="56" xfId="0" applyNumberFormat="1" applyFill="1" applyBorder="1" applyAlignment="1">
      <alignment horizontal="center"/>
    </xf>
    <xf numFmtId="2" fontId="0" fillId="2" borderId="57" xfId="0" applyNumberFormat="1" applyFill="1" applyBorder="1" applyAlignment="1">
      <alignment horizontal="center"/>
    </xf>
    <xf numFmtId="2" fontId="0" fillId="2" borderId="58" xfId="0" applyNumberFormat="1" applyFill="1" applyBorder="1" applyAlignment="1">
      <alignment horizontal="center"/>
    </xf>
    <xf numFmtId="2" fontId="0" fillId="0" borderId="52" xfId="0" applyNumberFormat="1" applyBorder="1" applyAlignment="1">
      <alignment horizontal="center" vertical="center"/>
    </xf>
    <xf numFmtId="2" fontId="0" fillId="0" borderId="53" xfId="0" applyNumberFormat="1" applyBorder="1" applyAlignment="1">
      <alignment horizontal="center" vertical="center"/>
    </xf>
    <xf numFmtId="2" fontId="0" fillId="0" borderId="54" xfId="0" applyNumberFormat="1" applyBorder="1" applyAlignment="1">
      <alignment horizontal="center" vertical="center"/>
    </xf>
    <xf numFmtId="2" fontId="0" fillId="0" borderId="59" xfId="0" applyNumberFormat="1" applyBorder="1" applyAlignment="1">
      <alignment horizontal="center"/>
    </xf>
    <xf numFmtId="0" fontId="0" fillId="0" borderId="0" xfId="0" quotePrefix="1" applyAlignment="1">
      <alignment wrapText="1"/>
    </xf>
    <xf numFmtId="0" fontId="0" fillId="0" borderId="0" xfId="0" quotePrefix="1" applyAlignment="1">
      <alignment horizontal="left" wrapText="1"/>
    </xf>
    <xf numFmtId="164" fontId="0" fillId="0" borderId="3" xfId="0" applyNumberForma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2" fontId="0" fillId="0" borderId="50" xfId="0" applyNumberFormat="1" applyBorder="1" applyAlignment="1">
      <alignment horizontal="center"/>
    </xf>
    <xf numFmtId="2" fontId="0" fillId="0" borderId="49" xfId="0" applyNumberFormat="1" applyBorder="1" applyAlignment="1">
      <alignment horizontal="center"/>
    </xf>
    <xf numFmtId="2" fontId="0" fillId="0" borderId="61" xfId="0" applyNumberFormat="1" applyBorder="1" applyAlignment="1">
      <alignment horizontal="center"/>
    </xf>
    <xf numFmtId="2" fontId="0" fillId="0" borderId="62" xfId="0" applyNumberFormat="1" applyBorder="1" applyAlignment="1">
      <alignment horizontal="center"/>
    </xf>
    <xf numFmtId="0" fontId="10" fillId="0" borderId="0" xfId="0" applyFont="1"/>
    <xf numFmtId="166" fontId="11" fillId="0" borderId="34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166" fontId="11" fillId="0" borderId="8" xfId="0" applyNumberFormat="1" applyFont="1" applyBorder="1" applyAlignment="1">
      <alignment horizontal="center"/>
    </xf>
    <xf numFmtId="2" fontId="11" fillId="0" borderId="38" xfId="0" applyNumberFormat="1" applyFont="1" applyBorder="1" applyAlignment="1">
      <alignment horizontal="center" wrapText="1"/>
    </xf>
    <xf numFmtId="166" fontId="10" fillId="0" borderId="25" xfId="0" applyNumberFormat="1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166" fontId="10" fillId="0" borderId="7" xfId="0" applyNumberFormat="1" applyFont="1" applyBorder="1" applyAlignment="1">
      <alignment horizontal="center"/>
    </xf>
    <xf numFmtId="166" fontId="10" fillId="0" borderId="1" xfId="1" applyNumberFormat="1" applyFont="1" applyFill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166" fontId="10" fillId="0" borderId="39" xfId="0" applyNumberFormat="1" applyFont="1" applyBorder="1" applyAlignment="1">
      <alignment horizontal="center"/>
    </xf>
    <xf numFmtId="166" fontId="10" fillId="0" borderId="1" xfId="0" applyNumberFormat="1" applyFont="1" applyBorder="1" applyAlignment="1">
      <alignment horizontal="center"/>
    </xf>
    <xf numFmtId="2" fontId="10" fillId="0" borderId="28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166" fontId="10" fillId="0" borderId="45" xfId="0" applyNumberFormat="1" applyFont="1" applyBorder="1" applyAlignment="1">
      <alignment horizontal="center"/>
    </xf>
    <xf numFmtId="2" fontId="10" fillId="0" borderId="15" xfId="0" applyNumberFormat="1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2" fontId="10" fillId="0" borderId="43" xfId="0" applyNumberFormat="1" applyFont="1" applyBorder="1" applyAlignment="1">
      <alignment horizontal="center"/>
    </xf>
    <xf numFmtId="166" fontId="10" fillId="0" borderId="15" xfId="1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166" fontId="10" fillId="0" borderId="40" xfId="0" applyNumberFormat="1" applyFont="1" applyBorder="1" applyAlignment="1">
      <alignment horizontal="center"/>
    </xf>
    <xf numFmtId="2" fontId="10" fillId="0" borderId="41" xfId="0" applyNumberFormat="1" applyFont="1" applyBorder="1" applyAlignment="1">
      <alignment horizontal="center"/>
    </xf>
    <xf numFmtId="166" fontId="10" fillId="0" borderId="41" xfId="0" applyNumberFormat="1" applyFont="1" applyBorder="1" applyAlignment="1">
      <alignment horizontal="center"/>
    </xf>
    <xf numFmtId="2" fontId="10" fillId="0" borderId="42" xfId="0" applyNumberFormat="1" applyFont="1" applyBorder="1" applyAlignment="1">
      <alignment horizontal="center"/>
    </xf>
    <xf numFmtId="166" fontId="10" fillId="0" borderId="41" xfId="1" applyNumberFormat="1" applyFont="1" applyFill="1" applyBorder="1" applyAlignment="1">
      <alignment horizontal="center"/>
    </xf>
    <xf numFmtId="166" fontId="10" fillId="0" borderId="0" xfId="0" applyNumberFormat="1" applyFont="1"/>
    <xf numFmtId="2" fontId="10" fillId="0" borderId="0" xfId="0" applyNumberFormat="1" applyFont="1"/>
    <xf numFmtId="2" fontId="10" fillId="0" borderId="28" xfId="0" quotePrefix="1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7" fontId="0" fillId="0" borderId="3" xfId="0" applyNumberFormat="1" applyBorder="1" applyAlignment="1">
      <alignment horizontal="center" vertical="center"/>
    </xf>
    <xf numFmtId="166" fontId="10" fillId="0" borderId="28" xfId="0" applyNumberFormat="1" applyFont="1" applyBorder="1" applyAlignment="1">
      <alignment horizontal="center"/>
    </xf>
    <xf numFmtId="166" fontId="10" fillId="0" borderId="42" xfId="0" applyNumberFormat="1" applyFont="1" applyBorder="1" applyAlignment="1">
      <alignment horizontal="center"/>
    </xf>
    <xf numFmtId="165" fontId="0" fillId="2" borderId="2" xfId="0" applyNumberForma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2" borderId="52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2" fontId="0" fillId="2" borderId="23" xfId="0" applyNumberFormat="1" applyFill="1" applyBorder="1" applyAlignment="1">
      <alignment horizontal="center"/>
    </xf>
    <xf numFmtId="2" fontId="0" fillId="2" borderId="28" xfId="0" applyNumberFormat="1" applyFill="1" applyBorder="1" applyAlignment="1">
      <alignment horizontal="center"/>
    </xf>
    <xf numFmtId="2" fontId="0" fillId="2" borderId="53" xfId="0" applyNumberFormat="1" applyFill="1" applyBorder="1" applyAlignment="1">
      <alignment horizontal="center"/>
    </xf>
    <xf numFmtId="165" fontId="0" fillId="2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0" fillId="2" borderId="24" xfId="0" applyNumberFormat="1" applyFill="1" applyBorder="1" applyAlignment="1">
      <alignment horizontal="center"/>
    </xf>
    <xf numFmtId="2" fontId="0" fillId="2" borderId="29" xfId="0" applyNumberFormat="1" applyFill="1" applyBorder="1" applyAlignment="1">
      <alignment horizontal="center"/>
    </xf>
    <xf numFmtId="2" fontId="0" fillId="2" borderId="54" xfId="0" applyNumberFormat="1" applyFill="1" applyBorder="1" applyAlignment="1">
      <alignment horizontal="center"/>
    </xf>
    <xf numFmtId="1" fontId="10" fillId="0" borderId="39" xfId="0" applyNumberFormat="1" applyFont="1" applyBorder="1" applyAlignment="1">
      <alignment horizontal="center"/>
    </xf>
    <xf numFmtId="1" fontId="10" fillId="0" borderId="28" xfId="0" applyNumberFormat="1" applyFont="1" applyBorder="1" applyAlignment="1">
      <alignment horizontal="center"/>
    </xf>
    <xf numFmtId="166" fontId="10" fillId="0" borderId="43" xfId="0" applyNumberFormat="1" applyFont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16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17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32" xfId="0" applyBorder="1" applyAlignment="1">
      <alignment horizontal="center" vertical="center" textRotation="90"/>
    </xf>
    <xf numFmtId="0" fontId="0" fillId="0" borderId="33" xfId="0" applyBorder="1" applyAlignment="1">
      <alignment horizontal="center" vertical="center" textRotation="90"/>
    </xf>
    <xf numFmtId="0" fontId="0" fillId="0" borderId="34" xfId="0" applyBorder="1" applyAlignment="1">
      <alignment horizontal="center" vertical="center" textRotation="90"/>
    </xf>
    <xf numFmtId="0" fontId="11" fillId="0" borderId="21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11" fillId="0" borderId="48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0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49" xfId="0" applyFont="1" applyBorder="1" applyAlignment="1">
      <alignment horizontal="center" wrapText="1"/>
    </xf>
    <xf numFmtId="0" fontId="11" fillId="0" borderId="31" xfId="0" applyFont="1" applyBorder="1" applyAlignment="1">
      <alignment horizontal="center" wrapText="1"/>
    </xf>
    <xf numFmtId="0" fontId="11" fillId="0" borderId="3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38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</cellXfs>
  <cellStyles count="2">
    <cellStyle name="Comma" xfId="1" builtinId="3"/>
    <cellStyle name="Normal" xfId="0" builtinId="0"/>
  </cellStyles>
  <dxfs count="107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C00000"/>
      </font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ont>
        <color rgb="FFC00000"/>
      </font>
    </dxf>
    <dxf>
      <font>
        <color rgb="FFC00000"/>
      </font>
    </dxf>
    <dxf>
      <font>
        <color theme="0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C00000"/>
      </font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ont>
        <color rgb="FFC00000"/>
      </font>
    </dxf>
    <dxf>
      <font>
        <color rgb="FFC00000"/>
      </font>
    </dxf>
    <dxf>
      <font>
        <color theme="0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C00000"/>
      </font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ont>
        <color rgb="FFC00000"/>
      </font>
    </dxf>
    <dxf>
      <font>
        <color rgb="FFC00000"/>
      </font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99FF"/>
      <color rgb="FF66FFFF"/>
      <color rgb="FFFFFFCC"/>
      <color rgb="FFFF9966"/>
      <color rgb="FFFF66FF"/>
      <color rgb="FF66FF99"/>
      <color rgb="FFCCFF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zoomScaleNormal="100" workbookViewId="0">
      <selection activeCell="A10" sqref="A10"/>
    </sheetView>
  </sheetViews>
  <sheetFormatPr defaultRowHeight="14.4" x14ac:dyDescent="0.3"/>
  <cols>
    <col min="1" max="1" width="24.109375" bestFit="1" customWidth="1"/>
    <col min="2" max="2" width="18.88671875" customWidth="1"/>
    <col min="3" max="3" width="10.33203125" bestFit="1" customWidth="1"/>
  </cols>
  <sheetData>
    <row r="1" spans="1:4" ht="42" x14ac:dyDescent="0.4">
      <c r="A1" s="9" t="s">
        <v>1</v>
      </c>
      <c r="B1" s="10" t="s">
        <v>87</v>
      </c>
      <c r="C1" s="9" t="s">
        <v>88</v>
      </c>
    </row>
    <row r="2" spans="1:4" x14ac:dyDescent="0.3">
      <c r="A2" s="1" t="s">
        <v>322</v>
      </c>
      <c r="B2" s="18">
        <v>43</v>
      </c>
      <c r="C2" s="1" t="s">
        <v>289</v>
      </c>
      <c r="D2" s="62"/>
    </row>
    <row r="3" spans="1:4" x14ac:dyDescent="0.3">
      <c r="A3" s="1" t="s">
        <v>323</v>
      </c>
      <c r="B3" s="18">
        <v>22.6</v>
      </c>
      <c r="C3" s="1" t="s">
        <v>289</v>
      </c>
    </row>
    <row r="4" spans="1:4" x14ac:dyDescent="0.3">
      <c r="A4" s="1" t="s">
        <v>324</v>
      </c>
      <c r="B4" s="59">
        <v>315</v>
      </c>
      <c r="C4" s="1" t="s">
        <v>289</v>
      </c>
    </row>
    <row r="5" spans="1:4" x14ac:dyDescent="0.3">
      <c r="A5" s="1" t="s">
        <v>325</v>
      </c>
      <c r="B5" s="59">
        <v>205</v>
      </c>
      <c r="C5" s="1" t="s">
        <v>289</v>
      </c>
    </row>
    <row r="6" spans="1:4" x14ac:dyDescent="0.3">
      <c r="A6" s="1" t="s">
        <v>326</v>
      </c>
      <c r="B6" s="18">
        <v>69.8</v>
      </c>
      <c r="C6" s="1" t="s">
        <v>289</v>
      </c>
      <c r="D6" s="62"/>
    </row>
    <row r="7" spans="1:4" x14ac:dyDescent="0.3">
      <c r="A7" s="1" t="s">
        <v>327</v>
      </c>
      <c r="B7" s="18">
        <v>38.9</v>
      </c>
      <c r="C7" s="1" t="s">
        <v>289</v>
      </c>
    </row>
    <row r="8" spans="1:4" x14ac:dyDescent="0.3">
      <c r="A8" s="1" t="s">
        <v>328</v>
      </c>
      <c r="B8" s="18">
        <v>24.6</v>
      </c>
      <c r="C8" s="1" t="s">
        <v>289</v>
      </c>
    </row>
    <row r="9" spans="1:4" x14ac:dyDescent="0.3">
      <c r="A9" s="8" t="s">
        <v>329</v>
      </c>
      <c r="B9" s="77">
        <v>79.7</v>
      </c>
      <c r="C9" s="8" t="s">
        <v>289</v>
      </c>
    </row>
  </sheetData>
  <phoneticPr fontId="12" type="noConversion"/>
  <printOptions horizontalCentered="1" headings="1" gridLines="1"/>
  <pageMargins left="0.7" right="0.7" top="0.99" bottom="0.75" header="0.3" footer="0.3"/>
  <pageSetup orientation="portrait" r:id="rId1"/>
  <headerFooter>
    <oddHeader>&amp;CNIEHSO 20180515
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66"/>
    <pageSetUpPr fitToPage="1"/>
  </sheetPr>
  <dimension ref="A1:O10"/>
  <sheetViews>
    <sheetView tabSelected="1" zoomScaleNormal="100" workbookViewId="0">
      <selection activeCell="A17" sqref="A17"/>
    </sheetView>
  </sheetViews>
  <sheetFormatPr defaultRowHeight="14.4" x14ac:dyDescent="0.3"/>
  <cols>
    <col min="1" max="1" width="44.88671875" customWidth="1"/>
    <col min="2" max="3" width="24.109375" customWidth="1"/>
    <col min="4" max="4" width="8.5546875" customWidth="1"/>
    <col min="5" max="5" width="14.109375" bestFit="1" customWidth="1"/>
    <col min="6" max="7" width="8.109375" customWidth="1"/>
    <col min="8" max="8" width="9.109375" customWidth="1"/>
    <col min="9" max="9" width="14.109375" bestFit="1" customWidth="1"/>
    <col min="10" max="10" width="7.44140625" bestFit="1" customWidth="1"/>
    <col min="11" max="11" width="7.5546875" bestFit="1" customWidth="1"/>
    <col min="12" max="12" width="8.5546875" customWidth="1"/>
    <col min="13" max="13" width="14.109375" bestFit="1" customWidth="1"/>
    <col min="14" max="14" width="8" bestFit="1" customWidth="1"/>
    <col min="15" max="15" width="7.44140625" bestFit="1" customWidth="1"/>
  </cols>
  <sheetData>
    <row r="1" spans="1:15" ht="21" x14ac:dyDescent="0.4">
      <c r="A1" s="164" t="s">
        <v>1</v>
      </c>
      <c r="B1" s="190"/>
      <c r="C1" s="190"/>
      <c r="D1" s="161" t="s">
        <v>272</v>
      </c>
      <c r="E1" s="162"/>
      <c r="F1" s="162"/>
      <c r="G1" s="163"/>
      <c r="H1" s="161" t="s">
        <v>273</v>
      </c>
      <c r="I1" s="162"/>
      <c r="J1" s="162"/>
      <c r="K1" s="163"/>
      <c r="L1" s="161" t="s">
        <v>274</v>
      </c>
      <c r="M1" s="162"/>
      <c r="N1" s="162"/>
      <c r="O1" s="163"/>
    </row>
    <row r="2" spans="1:15" ht="30" x14ac:dyDescent="0.4">
      <c r="A2" s="165"/>
      <c r="B2" s="160" t="s">
        <v>305</v>
      </c>
      <c r="C2" s="160" t="s">
        <v>296</v>
      </c>
      <c r="D2" s="49" t="s">
        <v>268</v>
      </c>
      <c r="E2" s="49" t="s">
        <v>271</v>
      </c>
      <c r="F2" s="49" t="s">
        <v>266</v>
      </c>
      <c r="G2" s="49" t="s">
        <v>267</v>
      </c>
      <c r="H2" s="49" t="s">
        <v>268</v>
      </c>
      <c r="I2" s="49" t="s">
        <v>271</v>
      </c>
      <c r="J2" s="49" t="s">
        <v>266</v>
      </c>
      <c r="K2" s="49" t="s">
        <v>267</v>
      </c>
      <c r="L2" s="49" t="s">
        <v>268</v>
      </c>
      <c r="M2" s="49" t="s">
        <v>271</v>
      </c>
      <c r="N2" s="49" t="s">
        <v>266</v>
      </c>
      <c r="O2" s="49" t="s">
        <v>267</v>
      </c>
    </row>
    <row r="3" spans="1:15" x14ac:dyDescent="0.3">
      <c r="A3" s="193" t="s">
        <v>306</v>
      </c>
      <c r="B3" s="193" t="s">
        <v>314</v>
      </c>
      <c r="C3" s="191" t="s">
        <v>297</v>
      </c>
      <c r="D3" s="18" t="str">
        <f>'EC Values (Run 1)'!$C$4</f>
        <v>Yes</v>
      </c>
      <c r="E3" s="1" t="str">
        <f>'EC Values (Run 1)'!$B$4</f>
        <v>Sensitizer</v>
      </c>
      <c r="F3" s="61" t="str">
        <f>IF(COUNTIFS('Run 1'!$F$23:$F$30,"&gt;150",'Run 1'!$H$23:$H$30,"&gt;50")=0,_xlfn.CONCAT("(&gt;",'Starting Concentrations'!$B$2,")"),IF('EC Values (Run 1)'!$H$4="",'EC Values (Run 1)'!$M$4,'EC Values (Run 1)'!$H$4))</f>
        <v/>
      </c>
      <c r="G3" s="150">
        <f>IF(COUNTIFS('Run 1'!$G$23:$G$30,"&gt;200",'Run 1'!$H$23:$H$30,"&gt;50")=0,_xlfn.CONCAT("(&gt;",'Starting Concentrations'!$B$2,")"),IF('EC Values (Run 1)'!$H17="",'EC Values (Run 1)'!$M17,'EC Values (Run 1)'!$H17))</f>
        <v>14.283814392692836</v>
      </c>
      <c r="H3" s="18" t="str">
        <f>'EC Values (Run 2)'!$C$4</f>
        <v>Yes</v>
      </c>
      <c r="I3" s="1" t="str">
        <f>'EC Values (Run 2)'!$B$4</f>
        <v>Sensitizer</v>
      </c>
      <c r="J3" s="61" t="str">
        <f>IF(COUNTIFS('Run 2'!$F$23:$F$30,"&gt;150",'Run 2'!$H$23:$H$30,"&gt;50")=0,_xlfn.CONCAT("(&gt;",'Starting Concentrations'!$B$2,")"),IF('EC Values (Run 2)'!$H$4="",'EC Values (Run 2)'!$M$4,'EC Values (Run 2)'!$H$4))</f>
        <v>(&gt;43)</v>
      </c>
      <c r="K3" s="150">
        <f>IF(COUNTIFS('Run 2'!$G$23:$G$30,"&gt;200",'Run 2'!$H$23:$H$30,"&gt;50")=0,_xlfn.CONCAT("(&gt;",'Starting Concentrations'!$B$2,")"),IF('EC Values (Run 2)'!$H17="",'EC Values (Run 2)'!$M17,'EC Values (Run 2)'!$H17))</f>
        <v>25.717957404702062</v>
      </c>
      <c r="L3" s="153"/>
      <c r="M3" s="154"/>
      <c r="N3" s="152"/>
      <c r="O3" s="146"/>
    </row>
    <row r="4" spans="1:15" x14ac:dyDescent="0.3">
      <c r="A4" s="193" t="s">
        <v>307</v>
      </c>
      <c r="B4" s="193" t="s">
        <v>315</v>
      </c>
      <c r="C4" s="191" t="s">
        <v>298</v>
      </c>
      <c r="D4" s="18" t="str">
        <f>'EC Values (Run 1)'!$C$5</f>
        <v>Yes</v>
      </c>
      <c r="E4" s="1" t="str">
        <f>'EC Values (Run 1)'!$B$5</f>
        <v>Sensitizer</v>
      </c>
      <c r="F4" s="11">
        <f>IF(COUNTIFS('Run 1'!$F$31:$F$38,"&gt;150",'Run 1'!$H$31:$H$38,"&gt;50")=0,_xlfn.CONCAT("(&gt;",'Starting Concentrations'!$B$3,")"),IF('EC Values (Run 1)'!$H$5="",'EC Values (Run 1)'!$M$5,'EC Values (Run 1)'!$H$5))</f>
        <v>9.4360271079323947</v>
      </c>
      <c r="G4" s="150">
        <f>IF(COUNTIFS('Run 1'!$G$31:$G$38,"&gt;200",'Run 1'!$H$31:$H$38,"&gt;50")=0,_xlfn.CONCAT("(&gt;",'Starting Concentrations'!$B$3,")"),IF('EC Values (Run 1)'!$H18="",'EC Values (Run 1)'!$M18,'EC Values (Run 1)'!$H18))</f>
        <v>10.688563589979752</v>
      </c>
      <c r="H4" s="18" t="str">
        <f>'EC Values (Run 2)'!$C$5</f>
        <v>Yes</v>
      </c>
      <c r="I4" s="1" t="str">
        <f>'EC Values (Run 2)'!$B$5</f>
        <v>Sensitizer</v>
      </c>
      <c r="J4" s="150">
        <f>IF(COUNTIFS('Run 2'!$F$31:$F$38,"&gt;150",'Run 2'!$H$31:$H$38,"&gt;50")=0,_xlfn.CONCAT("(&gt;",'Starting Concentrations'!$B$3,")"),IF('EC Values (Run 2)'!$H$5="",'EC Values (Run 2)'!$M$5,'EC Values (Run 2)'!$H$5))</f>
        <v>15.488678091997642</v>
      </c>
      <c r="K4" s="150">
        <f>IF(COUNTIFS('Run 2'!$G$31:$G$38,"&gt;200",'Run 2'!$H$31:$H$38,"&gt;50")=0,_xlfn.CONCAT("(&gt;",'Starting Concentrations'!$B$3,")"),IF('EC Values (Run 2)'!$H18="",'EC Values (Run 2)'!$M18,'EC Values (Run 2)'!$H18))</f>
        <v>16.044452566542024</v>
      </c>
      <c r="L4" s="153"/>
      <c r="M4" s="154"/>
      <c r="N4" s="146"/>
      <c r="O4" s="146"/>
    </row>
    <row r="5" spans="1:15" x14ac:dyDescent="0.3">
      <c r="A5" s="193" t="s">
        <v>308</v>
      </c>
      <c r="B5" s="193" t="s">
        <v>316</v>
      </c>
      <c r="C5" s="191" t="s">
        <v>299</v>
      </c>
      <c r="D5" s="18" t="str">
        <f>'EC Values (Run 1)'!$C$6</f>
        <v>Yes</v>
      </c>
      <c r="E5" s="1" t="str">
        <f>'EC Values (Run 1)'!$B$6</f>
        <v>Non-sensitizer</v>
      </c>
      <c r="F5" s="11" t="str">
        <f>IF(COUNTIFS('Run 1'!$F$39:$F$46,"&gt;150",'Run 1'!$H$39:$H$46,"&gt;50")=0,_xlfn.CONCAT("(&gt;",'Starting Concentrations'!$B$4,")"),IF('EC Values (Run 1)'!$H$6="",'EC Values (Run 1)'!$M$6,'EC Values (Run 1)'!$H$6))</f>
        <v>(&gt;315)</v>
      </c>
      <c r="G5" s="11" t="str">
        <f>IF(COUNTIFS('Run 1'!$G$39:$G$46,"&gt;200",'Run 1'!$H$39:$H$46,"&gt;50")=0,_xlfn.CONCAT("(&gt;",'Starting Concentrations'!$B$4,")"),IF('EC Values (Run 1)'!$H19="",'EC Values (Run 1)'!$M19,'EC Values (Run 1)'!$H19))</f>
        <v>(&gt;315)</v>
      </c>
      <c r="H5" s="18" t="str">
        <f>'EC Values (Run 2)'!$C$6</f>
        <v>Yes</v>
      </c>
      <c r="I5" s="1" t="str">
        <f>'EC Values (Run 2)'!$B$6</f>
        <v>Non-sensitizer</v>
      </c>
      <c r="J5" s="11" t="str">
        <f>IF(COUNTIFS('Run 2'!$F$39:$F$46,"&gt;150",'Run 2'!$H$39:$H$46,"&gt;50")=0,_xlfn.CONCAT("(&gt;",'Starting Concentrations'!$B$4,")"),IF('EC Values (Run 2)'!$H$6="",'EC Values (Run 2)'!$M$6,'EC Values (Run 2)'!$H$6))</f>
        <v>(&gt;315)</v>
      </c>
      <c r="K5" s="11" t="str">
        <f>IF(COUNTIFS('Run 2'!$G$39:$G$46,"&gt;200",'Run 2'!$H$39:$H$46,"&gt;50")=0,_xlfn.CONCAT("(&gt;",'Starting Concentrations'!$B$4,")"),IF('EC Values (Run 2)'!$H19="",'EC Values (Run 2)'!$M19,'EC Values (Run 2)'!$H19))</f>
        <v>(&gt;315)</v>
      </c>
      <c r="L5" s="153"/>
      <c r="M5" s="154"/>
      <c r="N5" s="146"/>
      <c r="O5" s="146"/>
    </row>
    <row r="6" spans="1:15" x14ac:dyDescent="0.3">
      <c r="A6" s="193" t="s">
        <v>309</v>
      </c>
      <c r="B6" s="193" t="s">
        <v>317</v>
      </c>
      <c r="C6" s="191" t="s">
        <v>300</v>
      </c>
      <c r="D6" s="18" t="str">
        <f>'EC Values (Run 1)'!$C$7</f>
        <v>Yes</v>
      </c>
      <c r="E6" s="1" t="str">
        <f>'EC Values (Run 1)'!$B$7</f>
        <v>Sensitizer</v>
      </c>
      <c r="F6" s="11" t="str">
        <f>IF(COUNTIFS('Run 1'!$N$7:$N$14,"&gt;150",'Run 1'!$P$7:$P$14,"&gt;50")=0,_xlfn.CONCAT("(&gt;",'Starting Concentrations'!$B$5,")"),IF('EC Values (Run 1)'!$H$7="",'EC Values (Run 1)'!$M$7,'EC Values (Run 1)'!$H$7))</f>
        <v>(&gt;205)</v>
      </c>
      <c r="G6" s="150">
        <f>IF(COUNTIFS('Run 1'!$O$7:$O$14,"&gt;200",'Run 1'!$P$7:$P$14,"&gt;50")=0,_xlfn.CONCAT("(&gt;",'Starting Concentrations'!$B$5,")"),IF('EC Values (Run 1)'!$H20="",'EC Values (Run 1)'!$M20,'EC Values (Run 1)'!$H20))</f>
        <v>82.976588050672831</v>
      </c>
      <c r="H6" s="18" t="str">
        <f>'EC Values (Run 2)'!$C$7</f>
        <v>Yes</v>
      </c>
      <c r="I6" s="1" t="str">
        <f>'EC Values (Run 2)'!$B$7</f>
        <v>Non-sensitizer</v>
      </c>
      <c r="J6" s="11" t="str">
        <f>IF(COUNTIFS('Run 2'!$N$7:$N$14,"&gt;150",'Run 2'!$P$7:$P$14,"&gt;50")=0,_xlfn.CONCAT("(&gt;",'Starting Concentrations'!$B$5,")"),IF('EC Values (Run 2)'!$H$7="",'EC Values (Run 2)'!$M$7,'EC Values (Run 2)'!$H$7))</f>
        <v>(&gt;205)</v>
      </c>
      <c r="K6" s="11" t="str">
        <f>IF(COUNTIFS('Run 2'!$O$7:$O$14,"&gt;200",'Run 2'!$P$7:$P$14,"&gt;50")=0,_xlfn.CONCAT("(&gt;",'Starting Concentrations'!$B$5,")"),IF('EC Values (Run 2)'!$H20="",'EC Values (Run 2)'!$M20,'EC Values (Run 2)'!$H20))</f>
        <v>(&gt;205)</v>
      </c>
      <c r="L6" s="18" t="str">
        <f>'EC Values (Run 3)'!$C$4</f>
        <v>Yes</v>
      </c>
      <c r="M6" s="1" t="str">
        <f>'EC Values (Run 3)'!$B$4</f>
        <v>Sensitizer</v>
      </c>
      <c r="N6" s="11" t="str">
        <f>IF(COUNTIFS('Run 3'!$F$7:$F$14,"&gt;150",'Run 3'!$H$7:$H$14,"&gt;50")=0,_xlfn.CONCAT("(&gt;",'Starting Concentrations'!$B$5,")"),IF('EC Values (Run 3)'!$H$4="",'EC Values (Run 3)'!$M$4,'EC Values (Run 3)'!$H$4))</f>
        <v>(&gt;205)</v>
      </c>
      <c r="O6" s="155">
        <f>IF(COUNTIFS('Run 3'!$G$7:$G$14,"&gt;200",'Run 3'!$H$7:$H$14,"&gt;50")=0,_xlfn.CONCAT("(&gt;",'Starting Concentrations'!$B$5,")"),IF('EC Values (Run 3)'!$H11="",'EC Values (Run 3)'!$M11,'EC Values (Run 3)'!$H11))</f>
        <v>101.13817335141883</v>
      </c>
    </row>
    <row r="7" spans="1:15" x14ac:dyDescent="0.3">
      <c r="A7" s="193" t="s">
        <v>310</v>
      </c>
      <c r="B7" s="193" t="s">
        <v>318</v>
      </c>
      <c r="C7" s="191" t="s">
        <v>303</v>
      </c>
      <c r="D7" s="18" t="str">
        <f>'EC Values (Run 1)'!$C$8</f>
        <v>Yes</v>
      </c>
      <c r="E7" s="1" t="str">
        <f>'EC Values (Run 1)'!$B$8</f>
        <v>Sensitizer</v>
      </c>
      <c r="F7" s="11" t="str">
        <f>IF(COUNTIFS('Run 1'!$N$15:$N$22,"&gt;150",'Run 1'!$P$15:$P$22,"&gt;50")=0,_xlfn.CONCAT("(&gt;",'Starting Concentrations'!$B$6,")"),IF('EC Values (Run 1)'!$H$8="",'EC Values (Run 1)'!$M$8,'EC Values (Run 1)'!$H$8))</f>
        <v>(&gt;69.8)</v>
      </c>
      <c r="G7" s="150">
        <f>IF(COUNTIFS('Run 1'!$O$15:$O$22,"&gt;200",'Run 1'!$P$15:$P$22,"&gt;50")=0,_xlfn.CONCAT("(&gt;",'Starting Concentrations'!$B$6,")"),IF('EC Values (Run 1)'!$H21="",'EC Values (Run 1)'!$M21,'EC Values (Run 1)'!$H21))</f>
        <v>44.131047622518835</v>
      </c>
      <c r="H7" s="18" t="str">
        <f>'EC Values (Run 2)'!$C$8</f>
        <v>Yes</v>
      </c>
      <c r="I7" s="1" t="str">
        <f>'EC Values (Run 2)'!$B$8</f>
        <v>Non-sensitizer</v>
      </c>
      <c r="J7" s="11" t="str">
        <f>IF(COUNTIFS('Run 2'!$N$15:$N$22,"&gt;150",'Run 2'!$P$15:$P$22,"&gt;50")=0,_xlfn.CONCAT("(&gt;",'Starting Concentrations'!$B$6,")"),IF('EC Values (Run 2)'!$H$8="",'EC Values (Run 2)'!$M$8,'EC Values (Run 2)'!$H$8))</f>
        <v>(&gt;69.8)</v>
      </c>
      <c r="K7" s="11" t="str">
        <f>IF(COUNTIFS('Run 2'!$O$15:$O$22,"&gt;200",'Run 2'!$P$15:$P$22,"&gt;50")=0,_xlfn.CONCAT("(&gt;",'Starting Concentrations'!$B$6,")"),IF('EC Values (Run 2)'!$H21="",'EC Values (Run 2)'!$M21,'EC Values (Run 2)'!$H21))</f>
        <v>(&gt;69.8)</v>
      </c>
      <c r="L7" s="18" t="str">
        <f>'EC Values (Run 3)'!$C$5</f>
        <v>Yes</v>
      </c>
      <c r="M7" s="1" t="str">
        <f>'EC Values (Run 3)'!$B$5</f>
        <v>Non-sensitizer</v>
      </c>
      <c r="N7" s="11" t="str">
        <f>IF(COUNTIFS('Run 3'!$F$15:$F$22,"&gt;150",'Run 3'!$H$15:$H$22,"&gt;50")=0,_xlfn.CONCAT("(&gt;",'Starting Concentrations'!$B$6,")"),IF('EC Values (Run 3)'!$H$5="",'EC Values (Run 3)'!$M$5,'EC Values (Run 3)'!$H$5))</f>
        <v>(&gt;69.8)</v>
      </c>
      <c r="O7" s="11" t="str">
        <f>IF(COUNTIFS('Run 3'!$G$15:$G$22,"&gt;200",'Run 3'!$H$15:$H$22,"&gt;50")=0,_xlfn.CONCAT("(&gt;",'Starting Concentrations'!$B$6,")"),IF('EC Values (Run 3)'!$H12="",'EC Values (Run 3)'!$M12,'EC Values (Run 3)'!$H12))</f>
        <v>(&gt;69.8)</v>
      </c>
    </row>
    <row r="8" spans="1:15" x14ac:dyDescent="0.3">
      <c r="A8" s="193" t="s">
        <v>311</v>
      </c>
      <c r="B8" s="193" t="s">
        <v>319</v>
      </c>
      <c r="C8" s="191" t="s">
        <v>301</v>
      </c>
      <c r="D8" s="18" t="str">
        <f>'EC Values (Run 1)'!$C$9</f>
        <v>Yes</v>
      </c>
      <c r="E8" s="1" t="str">
        <f>'EC Values (Run 1)'!$B$9</f>
        <v>Sensitizer</v>
      </c>
      <c r="F8" s="150">
        <f>IF(COUNTIFS('Run 1'!$N$23:$N$30,"&gt;150",'Run 1'!$P$23:$P$30,"&gt;50")=0,_xlfn.CONCAT("(&gt;",'Starting Concentrations'!$B$7,")"),IF('EC Values (Run 1)'!$H$9="",'EC Values (Run 1)'!$M$9,'EC Values (Run 1)'!$H$9))</f>
        <v>10.964597270373286</v>
      </c>
      <c r="G8" s="150">
        <f>IF(COUNTIFS('Run 1'!$O$23:$O$30,"&gt;200",'Run 1'!$P$23:$P$30,"&gt;50")=0,_xlfn.CONCAT("(&gt;",'Starting Concentrations'!$B$7,")"),IF('EC Values (Run 1)'!$H22="",'EC Values (Run 1)'!$M22,'EC Values (Run 1)'!$H22))</f>
        <v>12.233734106267294</v>
      </c>
      <c r="H8" s="18" t="str">
        <f>'EC Values (Run 2)'!$C$9</f>
        <v>Yes</v>
      </c>
      <c r="I8" s="1" t="str">
        <f>'EC Values (Run 2)'!$B$9</f>
        <v>Sensitizer</v>
      </c>
      <c r="J8" s="11" t="str">
        <f>IF(COUNTIFS('Run 2'!$N$23:$N$30,"&gt;150",'Run 2'!$P$23:$P$30,"&gt;50")=0,_xlfn.CONCAT("(&gt;",'Starting Concentrations'!$B$7,")"),IF('EC Values (Run 2)'!$H$9="",'EC Values (Run 2)'!$M$9,'EC Values (Run 2)'!$H$9))</f>
        <v>(&gt;38.9)</v>
      </c>
      <c r="K8" s="150">
        <f>IF(COUNTIFS('Run 2'!$O$23:$O$30,"&gt;200",'Run 2'!$P$23:$P$30,"&gt;50")=0,_xlfn.CONCAT("(&gt;",'Starting Concentrations'!$B$7,")"),IF('EC Values (Run 2)'!$H22="",'EC Values (Run 2)'!$M22,'EC Values (Run 2)'!$H22))</f>
        <v>25.031702396459821</v>
      </c>
      <c r="L8" s="153"/>
      <c r="M8" s="154"/>
      <c r="N8" s="146"/>
      <c r="O8" s="146"/>
    </row>
    <row r="9" spans="1:15" x14ac:dyDescent="0.3">
      <c r="A9" s="193" t="s">
        <v>312</v>
      </c>
      <c r="B9" s="193" t="s">
        <v>320</v>
      </c>
      <c r="C9" s="191" t="s">
        <v>302</v>
      </c>
      <c r="D9" s="18" t="str">
        <f>'EC Values (Run 1)'!$C$10</f>
        <v>Yes</v>
      </c>
      <c r="E9" s="1" t="str">
        <f>'EC Values (Run 1)'!$B$10</f>
        <v>Sensitizer</v>
      </c>
      <c r="F9" s="150">
        <f>IF(COUNTIFS('Run 1'!$N$31:$N$38,"&gt;150",'Run 1'!$P$31:$P$38,"&gt;50")=0,_xlfn.CONCAT("(&gt;",'Starting Concentrations'!$B$8,")"),IF('EC Values (Run 1)'!$H$10="",'EC Values (Run 1)'!$M$10,'EC Values (Run 1)'!$H$10))</f>
        <v>15.202712355275036</v>
      </c>
      <c r="G9" s="150">
        <f>IF(COUNTIFS('Run 1'!$O$31:$O$38,"&gt;200",'Run 1'!$P$31:$P$38,"&gt;50")=0,_xlfn.CONCAT("(&gt;",'Starting Concentrations'!$B$8,")"),IF('EC Values (Run 1)'!$H23="",'EC Values (Run 1)'!$M23,'EC Values (Run 1)'!$H23))</f>
        <v>14.602920864042572</v>
      </c>
      <c r="H9" s="18" t="str">
        <f>'EC Values (Run 2)'!$C$10</f>
        <v>Yes</v>
      </c>
      <c r="I9" s="1" t="str">
        <f>'EC Values (Run 2)'!$B$10</f>
        <v>Sensitizer</v>
      </c>
      <c r="J9" s="11" t="str">
        <f>IF(COUNTIFS('Run 2'!$N$31:$N$38,"&gt;150",'Run 2'!$P$31:$P$38,"&gt;50")=0,_xlfn.CONCAT("(&gt;",'Starting Concentrations'!$B$8,")"),IF('EC Values (Run 2)'!$H$10="",'EC Values (Run 2)'!$M$10,'EC Values (Run 2)'!$H$10))</f>
        <v>(&gt;24.6)</v>
      </c>
      <c r="K9" s="150">
        <f>IF(COUNTIFS('Run 2'!$O$31:$O$38,"&gt;200",'Run 2'!$P$31:$P$38,"&gt;50")=0,_xlfn.CONCAT("(&gt;",'Starting Concentrations'!$B$8,")"),IF('EC Values (Run 2)'!$H23="",'EC Values (Run 2)'!$M23,'EC Values (Run 2)'!$H23))</f>
        <v>17.628252885298849</v>
      </c>
      <c r="L9" s="153"/>
      <c r="M9" s="154"/>
      <c r="N9" s="146"/>
      <c r="O9" s="146"/>
    </row>
    <row r="10" spans="1:15" x14ac:dyDescent="0.3">
      <c r="A10" s="194" t="s">
        <v>313</v>
      </c>
      <c r="B10" s="194" t="s">
        <v>321</v>
      </c>
      <c r="C10" s="192" t="s">
        <v>304</v>
      </c>
      <c r="D10" s="77" t="str">
        <f>'EC Values (Run 1)'!$C$11</f>
        <v>Yes</v>
      </c>
      <c r="E10" s="8" t="str">
        <f>'EC Values (Run 1)'!$B$11</f>
        <v>Sensitizer</v>
      </c>
      <c r="F10" s="14" t="str">
        <f>IF(COUNTIFS('Run 1'!$N$39:$N$46,"&gt;150",'Run 1'!$P$39:$P$46,"&gt;50")=0,_xlfn.CONCAT("(&gt;",'Starting Concentrations'!$B$9,")"),IF('EC Values (Run 1)'!$H$11="",'EC Values (Run 1)'!$M$11,'EC Values (Run 1)'!$H$11))</f>
        <v/>
      </c>
      <c r="G10" s="151">
        <f>IF(COUNTIFS('Run 1'!$O$39:$O$46,"&gt;200",'Run 1'!$P$39:$P$46,"&gt;50")=0,_xlfn.CONCAT("(&gt;",'Starting Concentrations'!$B$9,")"),IF('EC Values (Run 1)'!$H24="",'EC Values (Run 1)'!$M24,'EC Values (Run 1)'!$H24))</f>
        <v>22.591742093978436</v>
      </c>
      <c r="H10" s="77" t="str">
        <f>'EC Values (Run 2)'!$C$11</f>
        <v>Yes</v>
      </c>
      <c r="I10" s="8" t="str">
        <f>'EC Values (Run 2)'!$B$11</f>
        <v>Sensitizer</v>
      </c>
      <c r="J10" s="14" t="str">
        <f>IF(COUNTIFS('Run 2'!$N$39:$N$46,"&gt;150",'Run 2'!$P$39:$P$46,"&gt;50")=0,_xlfn.CONCAT("(&gt;",'Starting Concentrations'!$B$9,")"),IF('EC Values (Run 2)'!$H$11="",'EC Values (Run 2)'!$M$11,'EC Values (Run 2)'!$H$11))</f>
        <v>(&gt;79.7)</v>
      </c>
      <c r="K10" s="151">
        <f>IF(COUNTIFS('Run 2'!$O$39:$O$46,"&gt;200",'Run 2'!$P$39:$P$46,"&gt;50")=0,_xlfn.CONCAT("(&gt;",'Starting Concentrations'!$B$9,")"),IF('EC Values (Run 2)'!$H24="",'EC Values (Run 2)'!$M24,'EC Values (Run 2)'!$H24))</f>
        <v>45.833940086428775</v>
      </c>
      <c r="L10" s="156"/>
      <c r="M10" s="157"/>
      <c r="N10" s="148"/>
      <c r="O10" s="148"/>
    </row>
  </sheetData>
  <mergeCells count="4">
    <mergeCell ref="L1:O1"/>
    <mergeCell ref="A1:A2"/>
    <mergeCell ref="D1:G1"/>
    <mergeCell ref="H1:K1"/>
  </mergeCells>
  <conditionalFormatting sqref="D3:D10">
    <cfRule type="containsText" dxfId="106" priority="2" operator="containsText" text="No">
      <formula>NOT(ISERROR(SEARCH("No",D3)))</formula>
    </cfRule>
  </conditionalFormatting>
  <conditionalFormatting sqref="E3:G10">
    <cfRule type="expression" dxfId="104" priority="3" stopIfTrue="1">
      <formula>$D3="No"</formula>
    </cfRule>
  </conditionalFormatting>
  <conditionalFormatting sqref="H3:H10">
    <cfRule type="containsText" dxfId="103" priority="5" operator="containsText" text="No">
      <formula>NOT(ISERROR(SEARCH("No",H3)))</formula>
    </cfRule>
  </conditionalFormatting>
  <conditionalFormatting sqref="I3:K10">
    <cfRule type="expression" dxfId="101" priority="6" stopIfTrue="1">
      <formula>$H3="No"</formula>
    </cfRule>
  </conditionalFormatting>
  <conditionalFormatting sqref="L6:L7">
    <cfRule type="containsText" dxfId="100" priority="17" operator="containsText" text="No">
      <formula>NOT(ISERROR(SEARCH("No",L6)))</formula>
    </cfRule>
  </conditionalFormatting>
  <conditionalFormatting sqref="M6:O7">
    <cfRule type="expression" dxfId="98" priority="18" stopIfTrue="1">
      <formula>$L6="No"</formula>
    </cfRule>
  </conditionalFormatting>
  <printOptions horizontalCentered="1"/>
  <pageMargins left="0.13" right="0.13" top="1.41" bottom="0.75" header="0.95" footer="0.3"/>
  <pageSetup scale="98" orientation="landscape" r:id="rId1"/>
  <headerFooter>
    <oddHeader>&amp;CNIEHSO 20180515
Run &amp;A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22D42E24-2181-494B-A1FE-76B297BD9627}">
            <xm:f>ISBLANK('Run 1'!$W$4)</xm:f>
            <x14:dxf>
              <font>
                <color theme="0" tint="-0.14996795556505021"/>
              </font>
              <fill>
                <patternFill>
                  <bgColor theme="0" tint="-0.14996795556505021"/>
                </patternFill>
              </fill>
            </x14:dxf>
          </x14:cfRule>
          <xm:sqref>D3:G10</xm:sqref>
        </x14:conditionalFormatting>
        <x14:conditionalFormatting xmlns:xm="http://schemas.microsoft.com/office/excel/2006/main">
          <x14:cfRule type="expression" priority="4" stopIfTrue="1" id="{9A720352-3567-4196-8D9F-5B0D12EF084B}">
            <xm:f>ISBLANK('Run 2'!$W$4)</xm:f>
            <x14:dxf>
              <font>
                <color theme="0" tint="-0.14996795556505021"/>
              </font>
              <fill>
                <patternFill>
                  <bgColor theme="0" tint="-0.14996795556505021"/>
                </patternFill>
              </fill>
            </x14:dxf>
          </x14:cfRule>
          <xm:sqref>H3:K10</xm:sqref>
        </x14:conditionalFormatting>
        <x14:conditionalFormatting xmlns:xm="http://schemas.microsoft.com/office/excel/2006/main">
          <x14:cfRule type="expression" priority="16" stopIfTrue="1" id="{05F3E60D-2EB7-40FD-9C5F-E741C4276BA9}">
            <xm:f>ISBLANK('Run 3'!$O$4)</xm:f>
            <x14:dxf>
              <font>
                <color theme="0" tint="-0.14996795556505021"/>
              </font>
              <fill>
                <patternFill>
                  <bgColor theme="0" tint="-0.14996795556505021"/>
                </patternFill>
              </fill>
            </x14:dxf>
          </x14:cfRule>
          <xm:sqref>L6:O7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99FF"/>
    <pageSetUpPr fitToPage="1"/>
  </sheetPr>
  <dimension ref="A1:Y289"/>
  <sheetViews>
    <sheetView zoomScale="85" zoomScaleNormal="85" workbookViewId="0">
      <selection activeCell="A23" sqref="A23:A30"/>
    </sheetView>
  </sheetViews>
  <sheetFormatPr defaultRowHeight="14.4" x14ac:dyDescent="0.3"/>
  <cols>
    <col min="1" max="1" width="11.5546875" style="4" customWidth="1"/>
    <col min="2" max="2" width="14.88671875" style="4" customWidth="1"/>
    <col min="3" max="8" width="11.33203125" customWidth="1"/>
    <col min="9" max="9" width="11.5546875" customWidth="1"/>
    <col min="10" max="10" width="14.88671875" customWidth="1"/>
    <col min="11" max="16" width="12.33203125" customWidth="1"/>
    <col min="23" max="23" width="21.5546875" customWidth="1"/>
    <col min="24" max="24" width="12.88671875" customWidth="1"/>
  </cols>
  <sheetData>
    <row r="1" spans="1:24" ht="15" thickBot="1" x14ac:dyDescent="0.35">
      <c r="W1" t="s">
        <v>93</v>
      </c>
      <c r="X1" t="s">
        <v>262</v>
      </c>
    </row>
    <row r="2" spans="1:24" ht="28.8" x14ac:dyDescent="0.3">
      <c r="A2" s="30" t="s">
        <v>1</v>
      </c>
      <c r="B2" s="30" t="s">
        <v>0</v>
      </c>
      <c r="C2" s="31" t="s">
        <v>91</v>
      </c>
      <c r="D2" s="31" t="s">
        <v>92</v>
      </c>
      <c r="E2" s="32" t="s">
        <v>263</v>
      </c>
      <c r="F2" s="34" t="s">
        <v>264</v>
      </c>
      <c r="G2" s="38" t="s">
        <v>265</v>
      </c>
      <c r="H2" s="67" t="s">
        <v>276</v>
      </c>
      <c r="I2" s="33" t="s">
        <v>1</v>
      </c>
      <c r="J2" s="30" t="s">
        <v>0</v>
      </c>
      <c r="K2" s="31" t="s">
        <v>91</v>
      </c>
      <c r="L2" s="31" t="s">
        <v>92</v>
      </c>
      <c r="M2" s="32" t="s">
        <v>263</v>
      </c>
      <c r="N2" s="34" t="s">
        <v>264</v>
      </c>
      <c r="O2" s="38" t="s">
        <v>265</v>
      </c>
      <c r="P2" s="67" t="s">
        <v>276</v>
      </c>
      <c r="Q2" s="34" t="s">
        <v>282</v>
      </c>
      <c r="R2" s="38" t="s">
        <v>283</v>
      </c>
      <c r="W2" t="s">
        <v>94</v>
      </c>
      <c r="X2" t="s">
        <v>2</v>
      </c>
    </row>
    <row r="3" spans="1:24" ht="15.9" customHeight="1" x14ac:dyDescent="0.3">
      <c r="A3" s="166" t="s">
        <v>275</v>
      </c>
      <c r="B3" s="16" t="s">
        <v>89</v>
      </c>
      <c r="C3" s="16">
        <f>W244</f>
        <v>3993.5</v>
      </c>
      <c r="D3" s="16">
        <f>W245</f>
        <v>4883.5600000000004</v>
      </c>
      <c r="E3" s="23">
        <f>W246</f>
        <v>2899.98</v>
      </c>
      <c r="F3" s="43"/>
      <c r="G3" s="44"/>
      <c r="H3" s="74">
        <f>$X$246*100</f>
        <v>96.69</v>
      </c>
      <c r="I3" s="169"/>
      <c r="J3" s="54"/>
      <c r="K3" s="54"/>
      <c r="L3" s="54"/>
      <c r="M3" s="57"/>
      <c r="N3" s="52"/>
      <c r="O3" s="57"/>
      <c r="P3" s="68"/>
      <c r="Q3" s="79">
        <f>(C3/$E$3)*100</f>
        <v>137.70784626100868</v>
      </c>
      <c r="R3" s="80">
        <f>(D3/$E$3)*100</f>
        <v>168.39978206746255</v>
      </c>
      <c r="W3" t="s">
        <v>95</v>
      </c>
      <c r="X3" t="s">
        <v>4</v>
      </c>
    </row>
    <row r="4" spans="1:24" ht="15.9" customHeight="1" thickBot="1" x14ac:dyDescent="0.35">
      <c r="A4" s="167"/>
      <c r="B4" s="11" t="s">
        <v>90</v>
      </c>
      <c r="C4" s="11">
        <f>W247</f>
        <v>3944.33</v>
      </c>
      <c r="D4" s="11">
        <f>W248</f>
        <v>3957.62</v>
      </c>
      <c r="E4" s="24">
        <f>W249</f>
        <v>2815.31</v>
      </c>
      <c r="F4" s="36">
        <f>(($C4-$E4)/($C$3-$E$3))*100</f>
        <v>103.24639695661718</v>
      </c>
      <c r="G4" s="40">
        <f>((D4-$E4)/($D$3-$E$3))*100</f>
        <v>57.588299942528145</v>
      </c>
      <c r="H4" s="64">
        <f>$X$249*100</f>
        <v>96.17</v>
      </c>
      <c r="I4" s="170"/>
      <c r="J4" s="55"/>
      <c r="K4" s="55"/>
      <c r="L4" s="55"/>
      <c r="M4" s="58"/>
      <c r="N4" s="53"/>
      <c r="O4" s="58"/>
      <c r="P4" s="69"/>
      <c r="Q4" s="81">
        <f>(C4/$E$4)*100</f>
        <v>140.10286611421122</v>
      </c>
      <c r="R4" s="82">
        <f>(D4/$E$4)*100</f>
        <v>140.57492780546369</v>
      </c>
      <c r="V4" t="s">
        <v>3</v>
      </c>
      <c r="W4" s="21">
        <v>1</v>
      </c>
      <c r="X4" s="7"/>
    </row>
    <row r="5" spans="1:24" ht="15.9" customHeight="1" x14ac:dyDescent="0.3">
      <c r="A5" s="167"/>
      <c r="B5" s="20" t="s">
        <v>286</v>
      </c>
      <c r="C5" s="20">
        <f>W250</f>
        <v>10935.87</v>
      </c>
      <c r="D5" s="20">
        <f>W251</f>
        <v>7211.02</v>
      </c>
      <c r="E5" s="29">
        <f>W252</f>
        <v>3415.38</v>
      </c>
      <c r="F5" s="36">
        <f>(($C5-$E5)/($C$4-$E$4))*100</f>
        <v>666.10777488441317</v>
      </c>
      <c r="G5" s="40">
        <f>((D5-$E5)/($D$4-$E$4))*100</f>
        <v>332.2775778904151</v>
      </c>
      <c r="H5" s="78">
        <f>$X$252*100</f>
        <v>72.680000000000007</v>
      </c>
      <c r="I5" s="170"/>
      <c r="J5" s="55"/>
      <c r="K5" s="55"/>
      <c r="L5" s="55"/>
      <c r="M5" s="58"/>
      <c r="N5" s="53"/>
      <c r="O5" s="58"/>
      <c r="P5" s="69"/>
      <c r="W5" s="21"/>
      <c r="X5" s="7"/>
    </row>
    <row r="6" spans="1:24" ht="15.9" customHeight="1" x14ac:dyDescent="0.3">
      <c r="A6" s="168"/>
      <c r="B6" s="20" t="s">
        <v>287</v>
      </c>
      <c r="C6" s="14">
        <f>W253</f>
        <v>8721.86</v>
      </c>
      <c r="D6" s="14">
        <f>W254</f>
        <v>6114.26</v>
      </c>
      <c r="E6" s="25">
        <f>W255</f>
        <v>3285.36</v>
      </c>
      <c r="F6" s="45">
        <f>(($C6-$E6)/($C$4-$E$4))*100</f>
        <v>481.5237994012507</v>
      </c>
      <c r="G6" s="42">
        <f>((D6-$E6)/($D$4-$E$4))*100</f>
        <v>247.6473111502132</v>
      </c>
      <c r="H6" s="65">
        <f>$X$255*100</f>
        <v>76.209999999999994</v>
      </c>
      <c r="I6" s="171"/>
      <c r="J6" s="56"/>
      <c r="K6" s="56"/>
      <c r="L6" s="56"/>
      <c r="M6" s="51"/>
      <c r="N6" s="50"/>
      <c r="O6" s="51"/>
      <c r="P6" s="70"/>
      <c r="V6" t="s">
        <v>5</v>
      </c>
      <c r="W6" s="21"/>
      <c r="X6" s="7"/>
    </row>
    <row r="7" spans="1:24" ht="15.9" customHeight="1" x14ac:dyDescent="0.3">
      <c r="A7" s="172"/>
      <c r="B7" s="125"/>
      <c r="C7" s="126"/>
      <c r="D7" s="126"/>
      <c r="E7" s="127"/>
      <c r="F7" s="43"/>
      <c r="G7" s="44"/>
      <c r="H7" s="128"/>
      <c r="I7" s="175" t="str">
        <f>'Starting Concentrations'!$A$5</f>
        <v>2,4-BPS</v>
      </c>
      <c r="J7" s="15">
        <f>('Starting Concentrations'!$B$5)</f>
        <v>205</v>
      </c>
      <c r="K7" s="17">
        <f>W124</f>
        <v>4962.8500000000004</v>
      </c>
      <c r="L7" s="17">
        <f>W125</f>
        <v>5090.3100000000004</v>
      </c>
      <c r="M7" s="26">
        <f>W126</f>
        <v>3775.33</v>
      </c>
      <c r="N7" s="35">
        <f>IF('Starting Concentrations'!$C$5="DMSO",(($K7-$M7)/($C$4-$E$4))*100,(($K7-$M7)/($C$3-$E$3))*100)</f>
        <v>105.18148482754958</v>
      </c>
      <c r="O7" s="39">
        <f>IF('Starting Concentrations'!$C$5="DMSO",(($L7-$M7)/($D$4-$E$4))*100,(($L7-$M7)/($D$3-$E$3))*100)</f>
        <v>115.11586171879793</v>
      </c>
      <c r="P7" s="71">
        <f>$X$126*100</f>
        <v>44.67</v>
      </c>
      <c r="V7" t="s">
        <v>6</v>
      </c>
      <c r="W7" s="21"/>
      <c r="X7" s="7"/>
    </row>
    <row r="8" spans="1:24" ht="15.9" customHeight="1" x14ac:dyDescent="0.3">
      <c r="A8" s="173"/>
      <c r="B8" s="129"/>
      <c r="C8" s="130"/>
      <c r="D8" s="130"/>
      <c r="E8" s="131"/>
      <c r="F8" s="132"/>
      <c r="G8" s="133"/>
      <c r="H8" s="134"/>
      <c r="I8" s="176"/>
      <c r="J8" s="2">
        <f>J7/1.2</f>
        <v>170.83333333333334</v>
      </c>
      <c r="K8" s="12">
        <f>W127</f>
        <v>5036.29</v>
      </c>
      <c r="L8" s="12">
        <f>W128</f>
        <v>5714.23</v>
      </c>
      <c r="M8" s="27">
        <f>W129</f>
        <v>3798.89</v>
      </c>
      <c r="N8" s="36">
        <f>IF('Starting Concentrations'!$C$5="DMSO",(($K8-$M8)/($C$4-$E$4))*100,(($K8-$M8)/($C$3-$E$3))*100)</f>
        <v>109.59947565144994</v>
      </c>
      <c r="O8" s="40">
        <f>IF('Starting Concentrations'!$C$5="DMSO",(($L8-$M8)/($D$4-$E$4))*100,(($L8-$M8)/($D$3-$E$3))*100)</f>
        <v>167.6725232204918</v>
      </c>
      <c r="P8" s="72">
        <f>$X$129*100</f>
        <v>64.290000000000006</v>
      </c>
      <c r="V8" t="s">
        <v>7</v>
      </c>
      <c r="W8" s="21"/>
      <c r="X8" s="7"/>
    </row>
    <row r="9" spans="1:24" ht="15.9" customHeight="1" x14ac:dyDescent="0.3">
      <c r="A9" s="173"/>
      <c r="B9" s="129"/>
      <c r="C9" s="130"/>
      <c r="D9" s="130"/>
      <c r="E9" s="131"/>
      <c r="F9" s="132"/>
      <c r="G9" s="133"/>
      <c r="H9" s="134"/>
      <c r="I9" s="176"/>
      <c r="J9" s="2">
        <f t="shared" ref="J9:J14" si="0">J8/1.2</f>
        <v>142.36111111111111</v>
      </c>
      <c r="K9" s="12">
        <f>W130</f>
        <v>5042.68</v>
      </c>
      <c r="L9" s="12">
        <f>W131</f>
        <v>6214.71</v>
      </c>
      <c r="M9" s="27">
        <f>W132</f>
        <v>3736.55</v>
      </c>
      <c r="N9" s="36">
        <f>IF('Starting Concentrations'!$C$5="DMSO",(($K9-$M9)/($C$4-$E$4))*100,(($K9-$M9)/($C$3-$E$3))*100)</f>
        <v>115.68705603089407</v>
      </c>
      <c r="O9" s="40">
        <f>IF('Starting Concentrations'!$C$5="DMSO",(($L9-$M9)/($D$4-$E$4))*100,(($L9-$M9)/($D$3-$E$3))*100)</f>
        <v>216.94286139489282</v>
      </c>
      <c r="P9" s="72">
        <f>$X$132*100</f>
        <v>75.649999999999991</v>
      </c>
      <c r="V9" t="s">
        <v>8</v>
      </c>
      <c r="W9" s="21"/>
      <c r="X9" s="7"/>
    </row>
    <row r="10" spans="1:24" ht="15.9" customHeight="1" x14ac:dyDescent="0.3">
      <c r="A10" s="173"/>
      <c r="B10" s="129"/>
      <c r="C10" s="130"/>
      <c r="D10" s="130"/>
      <c r="E10" s="131"/>
      <c r="F10" s="132"/>
      <c r="G10" s="133"/>
      <c r="H10" s="134"/>
      <c r="I10" s="176"/>
      <c r="J10" s="2">
        <f t="shared" si="0"/>
        <v>118.63425925925927</v>
      </c>
      <c r="K10" s="12">
        <f>W133</f>
        <v>4949.8</v>
      </c>
      <c r="L10" s="12">
        <f>W134</f>
        <v>6245.08</v>
      </c>
      <c r="M10" s="27">
        <f>W135</f>
        <v>3758.75</v>
      </c>
      <c r="N10" s="36">
        <f>IF('Starting Concentrations'!$C$5="DMSO",(($K10-$M10)/($C$4-$E$4))*100,(($K10-$M10)/($C$3-$E$3))*100)</f>
        <v>105.49414536500683</v>
      </c>
      <c r="O10" s="40">
        <f>IF('Starting Concentrations'!$C$5="DMSO",(($L10-$M10)/($D$4-$E$4))*100,(($L10-$M10)/($D$3-$E$3))*100)</f>
        <v>217.65807880522803</v>
      </c>
      <c r="P10" s="72">
        <f>$X$135*100</f>
        <v>84.03</v>
      </c>
      <c r="V10" t="s">
        <v>9</v>
      </c>
      <c r="W10" s="21"/>
      <c r="X10" s="7"/>
    </row>
    <row r="11" spans="1:24" ht="15.9" customHeight="1" x14ac:dyDescent="0.3">
      <c r="A11" s="173"/>
      <c r="B11" s="129"/>
      <c r="C11" s="130"/>
      <c r="D11" s="130"/>
      <c r="E11" s="131"/>
      <c r="F11" s="132"/>
      <c r="G11" s="133"/>
      <c r="H11" s="134"/>
      <c r="I11" s="176"/>
      <c r="J11" s="119">
        <f t="shared" si="0"/>
        <v>98.861882716049394</v>
      </c>
      <c r="K11" s="12">
        <f>W136</f>
        <v>5105.9399999999996</v>
      </c>
      <c r="L11" s="12">
        <f>W137</f>
        <v>5973.76</v>
      </c>
      <c r="M11" s="27">
        <f>W138</f>
        <v>3537.72</v>
      </c>
      <c r="N11" s="36">
        <f>IF('Starting Concentrations'!$C$5="DMSO",(($K11-$M11)/($C$4-$E$4))*100,(($K11-$M11)/($C$3-$E$3))*100)</f>
        <v>138.90099378221819</v>
      </c>
      <c r="O11" s="40">
        <f>IF('Starting Concentrations'!$C$5="DMSO",(($L11-$M11)/($D$4-$E$4))*100,(($L11-$M11)/($D$3-$E$3))*100)</f>
        <v>213.25559611664087</v>
      </c>
      <c r="P11" s="72">
        <f>$X$138*100</f>
        <v>89.759999999999991</v>
      </c>
      <c r="V11" t="s">
        <v>10</v>
      </c>
      <c r="W11" s="21"/>
      <c r="X11" s="7"/>
    </row>
    <row r="12" spans="1:24" ht="15.9" customHeight="1" x14ac:dyDescent="0.3">
      <c r="A12" s="173"/>
      <c r="B12" s="129"/>
      <c r="C12" s="130"/>
      <c r="D12" s="130"/>
      <c r="E12" s="131"/>
      <c r="F12" s="132"/>
      <c r="G12" s="133"/>
      <c r="H12" s="134"/>
      <c r="I12" s="176"/>
      <c r="J12" s="119">
        <f t="shared" si="0"/>
        <v>82.384902263374499</v>
      </c>
      <c r="K12" s="12">
        <f>W139</f>
        <v>4903.1000000000004</v>
      </c>
      <c r="L12" s="12">
        <f>W140</f>
        <v>5790.1</v>
      </c>
      <c r="M12" s="27">
        <f>W141</f>
        <v>3511.12</v>
      </c>
      <c r="N12" s="36">
        <f>IF('Starting Concentrations'!$C$5="DMSO",(($K12-$M12)/($C$4-$E$4))*100,(($K12-$M12)/($C$3-$E$3))*100)</f>
        <v>123.29099573081083</v>
      </c>
      <c r="O12" s="40">
        <f>IF('Starting Concentrations'!$C$5="DMSO",(($L12-$M12)/($D$4-$E$4))*100,(($L12-$M12)/($D$3-$E$3))*100)</f>
        <v>199.50626362370991</v>
      </c>
      <c r="P12" s="72">
        <f>$X$141*100</f>
        <v>91.97</v>
      </c>
      <c r="V12" t="s">
        <v>11</v>
      </c>
      <c r="W12" s="21"/>
      <c r="X12" s="7"/>
    </row>
    <row r="13" spans="1:24" ht="15.9" customHeight="1" x14ac:dyDescent="0.3">
      <c r="A13" s="173"/>
      <c r="B13" s="129"/>
      <c r="C13" s="130"/>
      <c r="D13" s="130"/>
      <c r="E13" s="131"/>
      <c r="F13" s="132"/>
      <c r="G13" s="133"/>
      <c r="H13" s="134"/>
      <c r="I13" s="176"/>
      <c r="J13" s="119">
        <f t="shared" si="0"/>
        <v>68.654085219478759</v>
      </c>
      <c r="K13" s="12">
        <f>W142</f>
        <v>4648.1899999999996</v>
      </c>
      <c r="L13" s="12">
        <f>W143</f>
        <v>5142.47</v>
      </c>
      <c r="M13" s="27">
        <f>W144</f>
        <v>3310.87</v>
      </c>
      <c r="N13" s="36">
        <f>IF('Starting Concentrations'!$C$5="DMSO",(($K13-$M13)/($C$4-$E$4))*100,(($K13-$M13)/($C$3-$E$3))*100)</f>
        <v>118.44962888168497</v>
      </c>
      <c r="O13" s="40">
        <f>IF('Starting Concentrations'!$C$5="DMSO",(($L13-$M13)/($D$4-$E$4))*100,(($L13-$M13)/($D$3-$E$3))*100)</f>
        <v>160.3417636193328</v>
      </c>
      <c r="P13" s="72">
        <f>$X$144*100</f>
        <v>94.92</v>
      </c>
      <c r="V13" t="s">
        <v>12</v>
      </c>
      <c r="W13" s="21"/>
      <c r="X13" s="7"/>
    </row>
    <row r="14" spans="1:24" ht="15.9" customHeight="1" x14ac:dyDescent="0.3">
      <c r="A14" s="174"/>
      <c r="B14" s="135"/>
      <c r="C14" s="136"/>
      <c r="D14" s="136"/>
      <c r="E14" s="137"/>
      <c r="F14" s="138"/>
      <c r="G14" s="139"/>
      <c r="H14" s="140"/>
      <c r="I14" s="177"/>
      <c r="J14" s="120">
        <f t="shared" si="0"/>
        <v>57.211737682898971</v>
      </c>
      <c r="K14" s="13">
        <f>W145</f>
        <v>4637.99</v>
      </c>
      <c r="L14" s="13">
        <f>W146</f>
        <v>5193.1000000000004</v>
      </c>
      <c r="M14" s="28">
        <f>W147</f>
        <v>3346.4</v>
      </c>
      <c r="N14" s="37">
        <f>IF('Starting Concentrations'!$C$5="DMSO",(($K14-$M14)/($C$4-$E$4))*100,(($K14-$M14)/($C$3-$E$3))*100)</f>
        <v>114.39921347717488</v>
      </c>
      <c r="O14" s="41">
        <f>IF('Starting Concentrations'!$C$5="DMSO",(($L14-$M14)/($D$4-$E$4))*100,(($L14-$M14)/($D$3-$E$3))*100)</f>
        <v>161.66364647074792</v>
      </c>
      <c r="P14" s="73">
        <f>$X$147*100</f>
        <v>94.46</v>
      </c>
      <c r="V14" t="s">
        <v>13</v>
      </c>
      <c r="W14" s="21"/>
      <c r="X14" s="7"/>
    </row>
    <row r="15" spans="1:24" ht="15.9" customHeight="1" x14ac:dyDescent="0.3">
      <c r="A15" s="172"/>
      <c r="B15" s="15"/>
      <c r="C15" s="16"/>
      <c r="D15" s="16"/>
      <c r="E15" s="23"/>
      <c r="F15" s="35"/>
      <c r="G15" s="39"/>
      <c r="H15" s="63"/>
      <c r="I15" s="175" t="str">
        <f>'Starting Concentrations'!$A$6</f>
        <v>BPF</v>
      </c>
      <c r="J15" s="118">
        <f>('Starting Concentrations'!$B$6)</f>
        <v>69.8</v>
      </c>
      <c r="K15" s="16">
        <f>W148</f>
        <v>4056.13</v>
      </c>
      <c r="L15" s="16">
        <f>W149</f>
        <v>4967.25</v>
      </c>
      <c r="M15" s="23">
        <f>W150</f>
        <v>2929.97</v>
      </c>
      <c r="N15" s="35">
        <f>IF('Starting Concentrations'!$C$6="DMSO",(($K15-$M15)/($C$4-$E$4))*100,(($K15-$M15)/($C$3-$E$3))*100)</f>
        <v>99.746682963986501</v>
      </c>
      <c r="O15" s="39">
        <f>IF('Starting Concentrations'!$C$6="DMSO",(($L15-$M15)/($D$4-$E$4))*100,(($L15-$M15)/($D$3-$E$3))*100)</f>
        <v>178.34738380999906</v>
      </c>
      <c r="P15" s="63">
        <f>$X$150*100</f>
        <v>70.28</v>
      </c>
      <c r="V15" t="s">
        <v>83</v>
      </c>
      <c r="W15" s="21"/>
      <c r="X15" s="7"/>
    </row>
    <row r="16" spans="1:24" ht="15.9" customHeight="1" x14ac:dyDescent="0.3">
      <c r="A16" s="173"/>
      <c r="B16" s="2"/>
      <c r="C16" s="11"/>
      <c r="D16" s="11"/>
      <c r="E16" s="24"/>
      <c r="F16" s="36"/>
      <c r="G16" s="40"/>
      <c r="H16" s="64"/>
      <c r="I16" s="176"/>
      <c r="J16" s="119">
        <f>J15/1.2</f>
        <v>58.166666666666664</v>
      </c>
      <c r="K16" s="11">
        <f>W151</f>
        <v>4087.91</v>
      </c>
      <c r="L16" s="11">
        <f>W152</f>
        <v>5542.25</v>
      </c>
      <c r="M16" s="24">
        <f>W153</f>
        <v>2961.09</v>
      </c>
      <c r="N16" s="36">
        <f>IF('Starting Concentrations'!$C$6="DMSO",(($K16-$M16)/($C$4-$E$4))*100,(($K16-$M16)/($C$3-$E$3))*100)</f>
        <v>99.805140741528035</v>
      </c>
      <c r="O16" s="40">
        <f>IF('Starting Concentrations'!$C$6="DMSO",(($L16-$M16)/($D$4-$E$4))*100,(($L16-$M16)/($D$3-$E$3))*100)</f>
        <v>225.95967819593631</v>
      </c>
      <c r="P16" s="64">
        <f>$X$153*100</f>
        <v>78.2</v>
      </c>
      <c r="V16" t="s">
        <v>14</v>
      </c>
      <c r="W16" s="21"/>
      <c r="X16" s="7"/>
    </row>
    <row r="17" spans="1:24" ht="15.9" customHeight="1" x14ac:dyDescent="0.3">
      <c r="A17" s="173"/>
      <c r="B17" s="2"/>
      <c r="C17" s="11"/>
      <c r="D17" s="11"/>
      <c r="E17" s="24"/>
      <c r="F17" s="36"/>
      <c r="G17" s="40"/>
      <c r="H17" s="64"/>
      <c r="I17" s="176"/>
      <c r="J17" s="119">
        <f t="shared" ref="J17:J22" si="1">J16/1.2</f>
        <v>48.472222222222221</v>
      </c>
      <c r="K17" s="11">
        <f>W154</f>
        <v>4565.25</v>
      </c>
      <c r="L17" s="11">
        <f>W155</f>
        <v>5545.11</v>
      </c>
      <c r="M17" s="24">
        <f>W156</f>
        <v>3031.15</v>
      </c>
      <c r="N17" s="36">
        <f>IF('Starting Concentrations'!$C$6="DMSO",(($K17-$M17)/($C$4-$E$4))*100,(($K17-$M17)/($C$3-$E$3))*100)</f>
        <v>135.87890382809871</v>
      </c>
      <c r="O17" s="40">
        <f>IF('Starting Concentrations'!$C$6="DMSO",(($L17-$M17)/($D$4-$E$4))*100,(($L17-$M17)/($D$3-$E$3))*100)</f>
        <v>220.07686179758559</v>
      </c>
      <c r="P17" s="64">
        <f>$X$156*100</f>
        <v>86.25</v>
      </c>
      <c r="V17" t="s">
        <v>15</v>
      </c>
      <c r="W17" s="21"/>
      <c r="X17" s="7"/>
    </row>
    <row r="18" spans="1:24" ht="15.9" customHeight="1" x14ac:dyDescent="0.3">
      <c r="A18" s="173"/>
      <c r="B18" s="2"/>
      <c r="C18" s="11"/>
      <c r="D18" s="11"/>
      <c r="E18" s="24"/>
      <c r="F18" s="36"/>
      <c r="G18" s="40"/>
      <c r="H18" s="64"/>
      <c r="I18" s="176"/>
      <c r="J18" s="119">
        <f t="shared" si="1"/>
        <v>40.393518518518519</v>
      </c>
      <c r="K18" s="11">
        <f>W157</f>
        <v>4362.67</v>
      </c>
      <c r="L18" s="11">
        <f>W158</f>
        <v>5039.92</v>
      </c>
      <c r="M18" s="24">
        <f>W159</f>
        <v>2952.75</v>
      </c>
      <c r="N18" s="36">
        <f>IF('Starting Concentrations'!$C$6="DMSO",(($K18-$M18)/($C$4-$E$4))*100,(($K18-$M18)/($C$3-$E$3))*100)</f>
        <v>124.87998441125934</v>
      </c>
      <c r="O18" s="40">
        <f>IF('Starting Concentrations'!$C$6="DMSO",(($L18-$M18)/($D$4-$E$4))*100,(($L18-$M18)/($D$3-$E$3))*100)</f>
        <v>182.71484973431032</v>
      </c>
      <c r="P18" s="64">
        <f>$X$159*100</f>
        <v>92.16</v>
      </c>
      <c r="V18" t="s">
        <v>16</v>
      </c>
      <c r="W18" s="21"/>
      <c r="X18" s="7"/>
    </row>
    <row r="19" spans="1:24" ht="15.9" customHeight="1" x14ac:dyDescent="0.3">
      <c r="A19" s="173"/>
      <c r="B19" s="2"/>
      <c r="C19" s="11"/>
      <c r="D19" s="11"/>
      <c r="E19" s="24"/>
      <c r="F19" s="36"/>
      <c r="G19" s="40"/>
      <c r="H19" s="64"/>
      <c r="I19" s="176"/>
      <c r="J19" s="119">
        <f t="shared" si="1"/>
        <v>33.661265432098766</v>
      </c>
      <c r="K19" s="11">
        <f>W160</f>
        <v>4168.92</v>
      </c>
      <c r="L19" s="11">
        <f>W161</f>
        <v>4364.9399999999996</v>
      </c>
      <c r="M19" s="24">
        <f>W162</f>
        <v>2783.11</v>
      </c>
      <c r="N19" s="36">
        <f>IF('Starting Concentrations'!$C$6="DMSO",(($K19-$M19)/($C$4-$E$4))*100,(($K19-$M19)/($C$3-$E$3))*100)</f>
        <v>122.74450408318718</v>
      </c>
      <c r="O19" s="40">
        <f>IF('Starting Concentrations'!$C$6="DMSO",(($L19-$M19)/($D$4-$E$4))*100,(($L19-$M19)/($D$3-$E$3))*100)</f>
        <v>138.47642058635569</v>
      </c>
      <c r="P19" s="64">
        <f>$X$162*100</f>
        <v>95.12</v>
      </c>
      <c r="V19" t="s">
        <v>17</v>
      </c>
      <c r="W19" s="21"/>
      <c r="X19" s="7"/>
    </row>
    <row r="20" spans="1:24" ht="15.9" customHeight="1" x14ac:dyDescent="0.3">
      <c r="A20" s="173"/>
      <c r="B20" s="2"/>
      <c r="C20" s="11"/>
      <c r="D20" s="11"/>
      <c r="E20" s="24"/>
      <c r="F20" s="36"/>
      <c r="G20" s="40"/>
      <c r="H20" s="64"/>
      <c r="I20" s="176"/>
      <c r="J20" s="119">
        <f t="shared" si="1"/>
        <v>28.051054526748974</v>
      </c>
      <c r="K20" s="11">
        <f>W163</f>
        <v>4185.6000000000004</v>
      </c>
      <c r="L20" s="11">
        <f>W164</f>
        <v>4202</v>
      </c>
      <c r="M20" s="24">
        <f>W165</f>
        <v>2714.46</v>
      </c>
      <c r="N20" s="36">
        <f>IF('Starting Concentrations'!$C$6="DMSO",(($K20-$M20)/($C$4-$E$4))*100,(($K20-$M20)/($C$3-$E$3))*100)</f>
        <v>130.3023861401924</v>
      </c>
      <c r="O20" s="40">
        <f>IF('Starting Concentrations'!$C$6="DMSO",(($L20-$M20)/($D$4-$E$4))*100,(($L20-$M20)/($D$3-$E$3))*100)</f>
        <v>130.22209382741988</v>
      </c>
      <c r="P20" s="64">
        <f>$X$165*100</f>
        <v>95.47</v>
      </c>
      <c r="V20" t="s">
        <v>18</v>
      </c>
      <c r="W20" s="21"/>
      <c r="X20" s="7"/>
    </row>
    <row r="21" spans="1:24" ht="15.9" customHeight="1" x14ac:dyDescent="0.3">
      <c r="A21" s="173"/>
      <c r="B21" s="2"/>
      <c r="C21" s="11"/>
      <c r="D21" s="11"/>
      <c r="E21" s="24"/>
      <c r="F21" s="36"/>
      <c r="G21" s="40"/>
      <c r="H21" s="64"/>
      <c r="I21" s="176"/>
      <c r="J21" s="119">
        <f t="shared" si="1"/>
        <v>23.375878772290811</v>
      </c>
      <c r="K21" s="11">
        <f>W166</f>
        <v>4003.95</v>
      </c>
      <c r="L21" s="11">
        <f>W167</f>
        <v>4032.26</v>
      </c>
      <c r="M21" s="24">
        <f>W168</f>
        <v>2687.46</v>
      </c>
      <c r="N21" s="36">
        <f>IF('Starting Concentrations'!$C$6="DMSO",(($K21-$M21)/($C$4-$E$4))*100,(($K21-$M21)/($C$3-$E$3))*100)</f>
        <v>116.60466599351649</v>
      </c>
      <c r="O21" s="40">
        <f>IF('Starting Concentrations'!$C$6="DMSO",(($L21-$M21)/($D$4-$E$4))*100,(($L21-$M21)/($D$3-$E$3))*100)</f>
        <v>117.72636149556604</v>
      </c>
      <c r="P21" s="64">
        <f>$X$168*100</f>
        <v>96.64</v>
      </c>
      <c r="V21" t="s">
        <v>19</v>
      </c>
      <c r="W21" s="21"/>
      <c r="X21" s="7"/>
    </row>
    <row r="22" spans="1:24" ht="15.9" customHeight="1" x14ac:dyDescent="0.3">
      <c r="A22" s="174"/>
      <c r="B22" s="19"/>
      <c r="C22" s="14"/>
      <c r="D22" s="14"/>
      <c r="E22" s="25"/>
      <c r="F22" s="37"/>
      <c r="G22" s="41"/>
      <c r="H22" s="65"/>
      <c r="I22" s="177"/>
      <c r="J22" s="120">
        <f t="shared" si="1"/>
        <v>19.479898976909009</v>
      </c>
      <c r="K22" s="14">
        <f>W169</f>
        <v>3939.38</v>
      </c>
      <c r="L22" s="14">
        <f>W170</f>
        <v>4404.03</v>
      </c>
      <c r="M22" s="25">
        <f>W171</f>
        <v>2656.13</v>
      </c>
      <c r="N22" s="37">
        <f>IF('Starting Concentrations'!$C$6="DMSO",(($K22-$M22)/($C$4-$E$4))*100,(($K22-$M22)/($C$3-$E$3))*100)</f>
        <v>113.66051974278577</v>
      </c>
      <c r="O22" s="41">
        <f>IF('Starting Concentrations'!$C$6="DMSO",(($L22-$M22)/($D$4-$E$4))*100,(($L22-$M22)/($D$3-$E$3))*100)</f>
        <v>153.01450569460127</v>
      </c>
      <c r="P22" s="65">
        <f>$X$171*100</f>
        <v>96.37</v>
      </c>
      <c r="V22" t="s">
        <v>20</v>
      </c>
      <c r="W22" s="21"/>
      <c r="X22" s="7"/>
    </row>
    <row r="23" spans="1:24" ht="15.9" customHeight="1" x14ac:dyDescent="0.3">
      <c r="A23" s="172" t="str">
        <f>'Starting Concentrations'!$A$2</f>
        <v>BPA</v>
      </c>
      <c r="B23" s="118">
        <f>('Starting Concentrations'!$B$2)</f>
        <v>43</v>
      </c>
      <c r="C23" s="16">
        <f>W52</f>
        <v>4342.6499999999996</v>
      </c>
      <c r="D23" s="16">
        <f>W53</f>
        <v>6175.96</v>
      </c>
      <c r="E23" s="23">
        <f>W54</f>
        <v>2863.68</v>
      </c>
      <c r="F23" s="35">
        <f>IF('Starting Concentrations'!$C$2="DMSO",(($C23-$E23)/($C$4-$E$4))*100,(($C23-$E23)/($C$3-$E$3))*100)</f>
        <v>130.99590795557208</v>
      </c>
      <c r="G23" s="39">
        <f>IF('Starting Concentrations'!$C$2="DMSO",(($D23-$E23)/($D$4-$E$4))*100,(($D23-$E23)/($D$3-$E$3))*100)</f>
        <v>289.96331993942101</v>
      </c>
      <c r="H23" s="63">
        <f>$X$54*100</f>
        <v>50.5</v>
      </c>
      <c r="I23" s="175" t="str">
        <f>'Starting Concentrations'!$A$7</f>
        <v>BPB</v>
      </c>
      <c r="J23" s="118">
        <f>('Starting Concentrations'!$B$7)</f>
        <v>38.9</v>
      </c>
      <c r="K23" s="16">
        <f>W172</f>
        <v>7104.02</v>
      </c>
      <c r="L23" s="16">
        <f>W173</f>
        <v>5538.72</v>
      </c>
      <c r="M23" s="23">
        <f>W174</f>
        <v>4765.78</v>
      </c>
      <c r="N23" s="35">
        <f>IF('Starting Concentrations'!$C$7="DMSO",(($K23-$M23)/($C$4-$E$4))*100,(($K23-$M23)/($C$3-$E$3))*100)</f>
        <v>207.10350569520477</v>
      </c>
      <c r="O23" s="39">
        <f>IF('Starting Concentrations'!$C$7="DMSO",(($L23-$M23)/($D$4-$E$4))*100,(($L23-$M23)/($D$3-$E$3))*100)</f>
        <v>67.664644448529771</v>
      </c>
      <c r="P23" s="63">
        <f>$X$174*100</f>
        <v>3.58</v>
      </c>
      <c r="V23" t="s">
        <v>21</v>
      </c>
      <c r="W23" s="21"/>
      <c r="X23" s="7"/>
    </row>
    <row r="24" spans="1:24" ht="15.9" customHeight="1" x14ac:dyDescent="0.3">
      <c r="A24" s="173"/>
      <c r="B24" s="119">
        <f>B23/1.2</f>
        <v>35.833333333333336</v>
      </c>
      <c r="C24" s="11">
        <f>W55</f>
        <v>5283.8</v>
      </c>
      <c r="D24" s="11">
        <f>W56</f>
        <v>6995.85</v>
      </c>
      <c r="E24" s="24">
        <f>W57</f>
        <v>3236.34</v>
      </c>
      <c r="F24" s="36">
        <f>IF('Starting Concentrations'!$C$2="DMSO",(($C24-$E24)/($C$4-$E$4))*100,(($C24-$E24)/($C$3-$E$3))*100)</f>
        <v>181.34842606862588</v>
      </c>
      <c r="G24" s="40">
        <f>IF('Starting Concentrations'!$C$2="DMSO",(($D24-$E24)/($D$4-$E$4))*100,(($D24-$E24)/($D$3-$E$3))*100)</f>
        <v>329.11468865719468</v>
      </c>
      <c r="H24" s="64">
        <f>$X$57*100</f>
        <v>75.070000000000007</v>
      </c>
      <c r="I24" s="176"/>
      <c r="J24" s="119">
        <f>J23/1.2</f>
        <v>32.416666666666664</v>
      </c>
      <c r="K24" s="11">
        <f>W175</f>
        <v>4077.64</v>
      </c>
      <c r="L24" s="11">
        <f>W176</f>
        <v>7141.67</v>
      </c>
      <c r="M24" s="24">
        <f>W177</f>
        <v>2738.26</v>
      </c>
      <c r="N24" s="36">
        <f>IF('Starting Concentrations'!$C$7="DMSO",(($K24-$M24)/($C$4-$E$4))*100,(($K24-$M24)/($C$3-$E$3))*100)</f>
        <v>118.6320880055269</v>
      </c>
      <c r="O24" s="40">
        <f>IF('Starting Concentrations'!$C$7="DMSO",(($L24-$M24)/($D$4-$E$4))*100,(($L24-$M24)/($D$3-$E$3))*100)</f>
        <v>385.48292495031995</v>
      </c>
      <c r="P24" s="64">
        <f>$X$177*100</f>
        <v>45.769999999999996</v>
      </c>
      <c r="V24" t="s">
        <v>22</v>
      </c>
      <c r="W24" s="21"/>
      <c r="X24" s="7"/>
    </row>
    <row r="25" spans="1:24" ht="15.9" customHeight="1" x14ac:dyDescent="0.3">
      <c r="A25" s="173"/>
      <c r="B25" s="119">
        <f t="shared" ref="B25:B30" si="2">B24/1.2</f>
        <v>29.861111111111114</v>
      </c>
      <c r="C25" s="11">
        <f>W58</f>
        <v>5115.12</v>
      </c>
      <c r="D25" s="11">
        <f>W59</f>
        <v>7107.4</v>
      </c>
      <c r="E25" s="24">
        <f>W60</f>
        <v>2419.16</v>
      </c>
      <c r="F25" s="36">
        <f>IF('Starting Concentrations'!$C$2="DMSO",(($C25-$E25)/($C$4-$E$4))*100,(($C25-$E25)/($C$3-$E$3))*100)</f>
        <v>238.78762112274364</v>
      </c>
      <c r="G25" s="40">
        <f>IF('Starting Concentrations'!$C$2="DMSO",(($D25-$E25)/($D$4-$E$4))*100,(($D25-$E25)/($D$3-$E$3))*100)</f>
        <v>410.41748737207939</v>
      </c>
      <c r="H25" s="64">
        <f>$X$60*100</f>
        <v>81.11</v>
      </c>
      <c r="I25" s="176"/>
      <c r="J25" s="119">
        <f t="shared" ref="J25:J30" si="3">J24/1.2</f>
        <v>27.013888888888889</v>
      </c>
      <c r="K25" s="11">
        <f>W178</f>
        <v>5021.47</v>
      </c>
      <c r="L25" s="11">
        <f>W179</f>
        <v>8211.0300000000007</v>
      </c>
      <c r="M25" s="24">
        <f>W180</f>
        <v>3245.75</v>
      </c>
      <c r="N25" s="36">
        <f>IF('Starting Concentrations'!$C$7="DMSO",(($K25-$M25)/($C$4-$E$4))*100,(($K25-$M25)/($C$3-$E$3))*100)</f>
        <v>157.27976475173162</v>
      </c>
      <c r="O25" s="40">
        <f>IF('Starting Concentrations'!$C$7="DMSO",(($L25-$M25)/($D$4-$E$4))*100,(($L25-$M25)/($D$3-$E$3))*100)</f>
        <v>434.67009830956573</v>
      </c>
      <c r="P25" s="64">
        <f>$X$180*100</f>
        <v>76.490000000000009</v>
      </c>
      <c r="W25" t="s">
        <v>290</v>
      </c>
      <c r="X25" t="s">
        <v>291</v>
      </c>
    </row>
    <row r="26" spans="1:24" ht="15.9" customHeight="1" x14ac:dyDescent="0.3">
      <c r="A26" s="173"/>
      <c r="B26" s="119">
        <f t="shared" si="2"/>
        <v>24.884259259259263</v>
      </c>
      <c r="C26" s="11">
        <f>W61</f>
        <v>5073.83</v>
      </c>
      <c r="D26" s="11">
        <f>W62</f>
        <v>6693.08</v>
      </c>
      <c r="E26" s="24">
        <f>W63</f>
        <v>3130.89</v>
      </c>
      <c r="F26" s="36">
        <f>IF('Starting Concentrations'!$C$2="DMSO",(($C26-$E26)/($C$4-$E$4))*100,(($C26-$E26)/($C$3-$E$3))*100)</f>
        <v>172.09083984340404</v>
      </c>
      <c r="G26" s="40">
        <f>IF('Starting Concentrations'!$C$2="DMSO",(($D26-$E26)/($D$4-$E$4))*100,(($D26-$E26)/($D$3-$E$3))*100)</f>
        <v>311.84091883989458</v>
      </c>
      <c r="H26" s="64">
        <f>$X$63*100</f>
        <v>81.16</v>
      </c>
      <c r="I26" s="176"/>
      <c r="J26" s="119">
        <f t="shared" si="3"/>
        <v>22.511574074074076</v>
      </c>
      <c r="K26" s="11">
        <f>W181</f>
        <v>5583.37</v>
      </c>
      <c r="L26" s="11">
        <f>W182</f>
        <v>7435.96</v>
      </c>
      <c r="M26" s="24">
        <f>W183</f>
        <v>3411.83</v>
      </c>
      <c r="N26" s="36">
        <f>IF('Starting Concentrations'!$C$7="DMSO",(($K26-$M26)/($C$4-$E$4))*100,(($K26-$M26)/($C$3-$E$3))*100)</f>
        <v>192.33848824644383</v>
      </c>
      <c r="O26" s="40">
        <f>IF('Starting Concentrations'!$C$7="DMSO",(($L26-$M26)/($D$4-$E$4))*100,(($L26-$M26)/($D$3-$E$3))*100)</f>
        <v>352.28002906391436</v>
      </c>
      <c r="P26" s="64">
        <f>$X$183*100</f>
        <v>80.02</v>
      </c>
      <c r="W26" t="s">
        <v>94</v>
      </c>
      <c r="X26" t="s">
        <v>292</v>
      </c>
    </row>
    <row r="27" spans="1:24" ht="15.9" customHeight="1" x14ac:dyDescent="0.3">
      <c r="A27" s="173"/>
      <c r="B27" s="119">
        <f t="shared" si="2"/>
        <v>20.736882716049386</v>
      </c>
      <c r="C27" s="11">
        <f>W64</f>
        <v>4930.54</v>
      </c>
      <c r="D27" s="11">
        <f>W65</f>
        <v>5951.26</v>
      </c>
      <c r="E27" s="24">
        <f>W66</f>
        <v>3096.38</v>
      </c>
      <c r="F27" s="36">
        <f>IF('Starting Concentrations'!$C$2="DMSO",(($C27-$E27)/($C$4-$E$4))*100,(($C27-$E27)/($C$3-$E$3))*100)</f>
        <v>162.45593523586825</v>
      </c>
      <c r="G27" s="40">
        <f>IF('Starting Concentrations'!$C$2="DMSO",(($D27-$E27)/($D$4-$E$4))*100,(($D27-$E27)/($D$3-$E$3))*100)</f>
        <v>249.92164998993269</v>
      </c>
      <c r="H27" s="64">
        <f>$X$66*100</f>
        <v>84.42</v>
      </c>
      <c r="I27" s="176"/>
      <c r="J27" s="119">
        <f t="shared" si="3"/>
        <v>18.759645061728399</v>
      </c>
      <c r="K27" s="11">
        <f>W184</f>
        <v>5575.27</v>
      </c>
      <c r="L27" s="11">
        <f>W185</f>
        <v>6717.85</v>
      </c>
      <c r="M27" s="24">
        <f>W186</f>
        <v>3425.62</v>
      </c>
      <c r="N27" s="36">
        <f>IF('Starting Concentrations'!$C$7="DMSO",(($K27-$M27)/($C$4-$E$4))*100,(($K27-$M27)/($C$3-$E$3))*100)</f>
        <v>190.39963862464796</v>
      </c>
      <c r="O27" s="40">
        <f>IF('Starting Concentrations'!$C$7="DMSO",(($L27-$M27)/($D$4-$E$4))*100,(($L27-$M27)/($D$3-$E$3))*100)</f>
        <v>288.20810463009173</v>
      </c>
      <c r="P27" s="64">
        <f>$X$186*100</f>
        <v>85.71</v>
      </c>
      <c r="W27" t="s">
        <v>95</v>
      </c>
      <c r="X27" t="s">
        <v>4</v>
      </c>
    </row>
    <row r="28" spans="1:24" ht="15.9" customHeight="1" x14ac:dyDescent="0.3">
      <c r="A28" s="173"/>
      <c r="B28" s="119">
        <f t="shared" si="2"/>
        <v>17.280735596707824</v>
      </c>
      <c r="C28" s="11">
        <f>W67</f>
        <v>4620.22</v>
      </c>
      <c r="D28" s="11">
        <f>W68</f>
        <v>4938.71</v>
      </c>
      <c r="E28" s="24">
        <f>W69</f>
        <v>2763.21</v>
      </c>
      <c r="F28" s="36">
        <f>IF('Starting Concentrations'!$C$2="DMSO",(($C28-$E28)/($C$4-$E$4))*100,(($C28-$E28)/($C$3-$E$3))*100)</f>
        <v>164.47981435227013</v>
      </c>
      <c r="G28" s="40">
        <f>IF('Starting Concentrations'!$C$2="DMSO",(($D28-$E28)/($D$4-$E$4))*100,(($D28-$E28)/($D$3-$E$3))*100)</f>
        <v>190.44742670553529</v>
      </c>
      <c r="H28" s="64">
        <f>$X$69*100</f>
        <v>90.55</v>
      </c>
      <c r="I28" s="176"/>
      <c r="J28" s="119">
        <f t="shared" si="3"/>
        <v>15.633037551440333</v>
      </c>
      <c r="K28" s="11">
        <f>W187</f>
        <v>5189.08</v>
      </c>
      <c r="L28" s="11">
        <f>W188</f>
        <v>5835.37</v>
      </c>
      <c r="M28" s="24">
        <f>W189</f>
        <v>3137.28</v>
      </c>
      <c r="N28" s="36">
        <f>IF('Starting Concentrations'!$C$7="DMSO",(($K28-$M28)/($C$4-$E$4))*100,(($K28-$M28)/($C$3-$E$3))*100)</f>
        <v>181.73283024215689</v>
      </c>
      <c r="O28" s="40">
        <f>IF('Starting Concentrations'!$C$7="DMSO",(($L28-$M28)/($D$4-$E$4))*100,(($L28-$M28)/($D$3-$E$3))*100)</f>
        <v>236.19595381288789</v>
      </c>
      <c r="P28" s="64">
        <f>$X$189*100</f>
        <v>87.070000000000007</v>
      </c>
      <c r="V28" t="s">
        <v>3</v>
      </c>
      <c r="W28" s="21">
        <v>6522.58</v>
      </c>
      <c r="X28" s="7">
        <v>0.1565</v>
      </c>
    </row>
    <row r="29" spans="1:24" ht="15.9" customHeight="1" x14ac:dyDescent="0.3">
      <c r="A29" s="173"/>
      <c r="B29" s="119">
        <f t="shared" si="2"/>
        <v>14.400612997256522</v>
      </c>
      <c r="C29" s="11">
        <f>W70</f>
        <v>4331.72</v>
      </c>
      <c r="D29" s="11">
        <f>W71</f>
        <v>4924.8599999999997</v>
      </c>
      <c r="E29" s="24">
        <f>W72</f>
        <v>2618.84</v>
      </c>
      <c r="F29" s="36">
        <f>IF('Starting Concentrations'!$C$2="DMSO",(($C29-$E29)/($C$4-$E$4))*100,(($C29-$E29)/($C$3-$E$3))*100)</f>
        <v>151.71387575065103</v>
      </c>
      <c r="G29" s="40">
        <f>IF('Starting Concentrations'!$C$2="DMSO",(($D29-$E29)/($D$4-$E$4))*100,(($D29-$E29)/($D$3-$E$3))*100)</f>
        <v>201.87339688876045</v>
      </c>
      <c r="H29" s="64">
        <f>$X$72*100</f>
        <v>91.92</v>
      </c>
      <c r="I29" s="176"/>
      <c r="J29" s="119">
        <f t="shared" si="3"/>
        <v>13.027531292866945</v>
      </c>
      <c r="K29" s="11">
        <f>W190</f>
        <v>5014.0600000000004</v>
      </c>
      <c r="L29" s="11">
        <f>W191</f>
        <v>5401.58</v>
      </c>
      <c r="M29" s="24">
        <f>W192</f>
        <v>2944.78</v>
      </c>
      <c r="N29" s="36">
        <f>IF('Starting Concentrations'!$C$7="DMSO",(($K29-$M29)/($C$4-$E$4))*100,(($K29-$M29)/($C$3-$E$3))*100)</f>
        <v>183.28107562310677</v>
      </c>
      <c r="O29" s="40">
        <f>IF('Starting Concentrations'!$C$7="DMSO",(($L29-$M29)/($D$4-$E$4))*100,(($L29-$M29)/($D$3-$E$3))*100)</f>
        <v>215.0729661825599</v>
      </c>
      <c r="P29" s="64">
        <f>$X$192*100</f>
        <v>88.039999999999992</v>
      </c>
      <c r="V29" t="s">
        <v>5</v>
      </c>
      <c r="W29" s="21">
        <v>6373.63</v>
      </c>
      <c r="X29" s="7">
        <v>0.154</v>
      </c>
    </row>
    <row r="30" spans="1:24" ht="15.9" customHeight="1" x14ac:dyDescent="0.3">
      <c r="A30" s="174"/>
      <c r="B30" s="120">
        <f t="shared" si="2"/>
        <v>12.000510831047102</v>
      </c>
      <c r="C30" s="14">
        <f>W73</f>
        <v>4339.67</v>
      </c>
      <c r="D30" s="14">
        <f>W74</f>
        <v>4459.68</v>
      </c>
      <c r="E30" s="25">
        <f>W75</f>
        <v>2593.41</v>
      </c>
      <c r="F30" s="37">
        <f>IF('Starting Concentrations'!$C$2="DMSO",(($C30-$E30)/($C$4-$E$4))*100,(($C30-$E30)/($C$3-$E$3))*100)</f>
        <v>154.67042213601178</v>
      </c>
      <c r="G30" s="41">
        <f>IF('Starting Concentrations'!$C$2="DMSO",(($D30-$E30)/($D$4-$E$4))*100,(($D30-$E30)/($D$3-$E$3))*100)</f>
        <v>163.37684166294616</v>
      </c>
      <c r="H30" s="65">
        <f>$X$75*100</f>
        <v>93.36</v>
      </c>
      <c r="I30" s="177"/>
      <c r="J30" s="120">
        <f t="shared" si="3"/>
        <v>10.85627607738912</v>
      </c>
      <c r="K30" s="14">
        <f>W193</f>
        <v>4476.1499999999996</v>
      </c>
      <c r="L30" s="14">
        <f>W194</f>
        <v>4788.1899999999996</v>
      </c>
      <c r="M30" s="25">
        <f>W195</f>
        <v>2802.35</v>
      </c>
      <c r="N30" s="37">
        <f>IF('Starting Concentrations'!$C$7="DMSO",(($K30-$M30)/($C$4-$E$4))*100,(($K30-$M30)/($C$3-$E$3))*100)</f>
        <v>148.25246674106745</v>
      </c>
      <c r="O30" s="41">
        <f>IF('Starting Concentrations'!$C$7="DMSO",(($L30-$M30)/($D$4-$E$4))*100,(($L30-$M30)/($D$3-$E$3))*100)</f>
        <v>173.84422792411866</v>
      </c>
      <c r="P30" s="65">
        <f>$X$195*100</f>
        <v>90.55</v>
      </c>
      <c r="V30" t="s">
        <v>6</v>
      </c>
      <c r="W30" s="21">
        <v>3933.04</v>
      </c>
      <c r="X30" s="7">
        <v>0.1532</v>
      </c>
    </row>
    <row r="31" spans="1:24" ht="15.9" customHeight="1" x14ac:dyDescent="0.3">
      <c r="A31" s="172" t="str">
        <f>'Starting Concentrations'!$A$3</f>
        <v>BPAF</v>
      </c>
      <c r="B31" s="118">
        <f>('Starting Concentrations'!$B$3)</f>
        <v>22.6</v>
      </c>
      <c r="C31" s="16">
        <f>W76</f>
        <v>5331.25</v>
      </c>
      <c r="D31" s="16">
        <f>W77</f>
        <v>11279.84</v>
      </c>
      <c r="E31" s="23">
        <f>W78</f>
        <v>3165.39</v>
      </c>
      <c r="F31" s="35">
        <f>IF('Starting Concentrations'!$C$3="DMSO",(($C31-$E31)/($C$4-$E$4))*100,(($C31-$E31)/($C$3-$E$3))*100)</f>
        <v>191.83539707002535</v>
      </c>
      <c r="G31" s="39">
        <f>IF('Starting Concentrations'!$C$3="DMSO",(($D31-$E31)/($D$4-$E$4))*100,(($D31-$E31)/($D$3-$E$3))*100)</f>
        <v>710.3544571963829</v>
      </c>
      <c r="H31" s="63">
        <f>$X$78*100</f>
        <v>55.400000000000006</v>
      </c>
      <c r="I31" s="175" t="str">
        <f>'Starting Concentrations'!$A$8</f>
        <v>BPAP</v>
      </c>
      <c r="J31" s="118">
        <f>('Starting Concentrations'!$B$8)</f>
        <v>24.6</v>
      </c>
      <c r="K31" s="16">
        <f>W196</f>
        <v>4382.49</v>
      </c>
      <c r="L31" s="16">
        <f>W197</f>
        <v>7548.07</v>
      </c>
      <c r="M31" s="23">
        <f>W198</f>
        <v>3131.91</v>
      </c>
      <c r="N31" s="35">
        <f>IF('Starting Concentrations'!$C$8="DMSO",(($K31-$M31)/($C$4-$E$4))*100,(($K31-$M31)/($C$3-$E$3))*100)</f>
        <v>110.76685975447734</v>
      </c>
      <c r="O31" s="39">
        <f>IF('Starting Concentrations'!$C$8="DMSO",(($L31-$M31)/($D$4-$E$4))*100,(($L31-$M31)/($D$3-$E$3))*100)</f>
        <v>386.59908431161421</v>
      </c>
      <c r="P31" s="63">
        <f>$X$198*100</f>
        <v>28.51</v>
      </c>
      <c r="V31" t="s">
        <v>7</v>
      </c>
      <c r="W31" s="21">
        <v>4729.3900000000003</v>
      </c>
      <c r="X31" s="7">
        <v>0.85009999999999997</v>
      </c>
    </row>
    <row r="32" spans="1:24" ht="15.9" customHeight="1" x14ac:dyDescent="0.3">
      <c r="A32" s="173"/>
      <c r="B32" s="119">
        <f>B31/1.2</f>
        <v>18.833333333333336</v>
      </c>
      <c r="C32" s="11">
        <f>W79</f>
        <v>5758.68</v>
      </c>
      <c r="D32" s="11">
        <f>W80</f>
        <v>9129.3700000000008</v>
      </c>
      <c r="E32" s="24">
        <f>W81</f>
        <v>3343.6</v>
      </c>
      <c r="F32" s="36">
        <f>IF('Starting Concentrations'!$C$3="DMSO",(($C32-$E32)/($C$4-$E$4))*100,(($C32-$E32)/($C$3-$E$3))*100)</f>
        <v>213.90940815928863</v>
      </c>
      <c r="G32" s="40">
        <f>IF('Starting Concentrations'!$C$3="DMSO",(($D32-$E32)/($D$4-$E$4))*100,(($D32-$E32)/($D$3-$E$3))*100)</f>
        <v>506.49736061139282</v>
      </c>
      <c r="H32" s="64">
        <f>$X$81*100</f>
        <v>62.33</v>
      </c>
      <c r="I32" s="176"/>
      <c r="J32" s="119">
        <f>J31/1.2</f>
        <v>20.500000000000004</v>
      </c>
      <c r="K32" s="11">
        <f>W199</f>
        <v>5548.58</v>
      </c>
      <c r="L32" s="11">
        <f>W200</f>
        <v>8965.42</v>
      </c>
      <c r="M32" s="24">
        <f>W201</f>
        <v>3657.27</v>
      </c>
      <c r="N32" s="36">
        <f>IF('Starting Concentrations'!$C$8="DMSO",(($K32-$M32)/($C$4-$E$4))*100,(($K32-$M32)/($C$3-$E$3))*100)</f>
        <v>167.51784733662822</v>
      </c>
      <c r="O32" s="40">
        <f>IF('Starting Concentrations'!$C$8="DMSO",(($L32-$M32)/($D$4-$E$4))*100,(($L32-$M32)/($D$3-$E$3))*100)</f>
        <v>464.68559322775781</v>
      </c>
      <c r="P32" s="64">
        <f>$X$201*100</f>
        <v>62.38</v>
      </c>
      <c r="V32" t="s">
        <v>8</v>
      </c>
      <c r="W32" s="21">
        <v>4311.57</v>
      </c>
      <c r="X32" s="7">
        <v>0.85299999999999998</v>
      </c>
    </row>
    <row r="33" spans="1:24" ht="15.9" customHeight="1" x14ac:dyDescent="0.3">
      <c r="A33" s="173"/>
      <c r="B33" s="119">
        <f t="shared" ref="B33:B38" si="4">B32/1.2</f>
        <v>15.694444444444446</v>
      </c>
      <c r="C33" s="11">
        <f>W82</f>
        <v>5700.51</v>
      </c>
      <c r="D33" s="11">
        <f>W83</f>
        <v>6732.1</v>
      </c>
      <c r="E33" s="24">
        <f>W84</f>
        <v>3495.35</v>
      </c>
      <c r="F33" s="36">
        <f>IF('Starting Concentrations'!$C$3="DMSO",(($C33-$E33)/($C$4-$E$4))*100,(($C33-$E33)/($C$3-$E$3))*100)</f>
        <v>195.31629200545609</v>
      </c>
      <c r="G33" s="40">
        <f>IF('Starting Concentrations'!$C$3="DMSO",(($D33-$E33)/($D$4-$E$4))*100,(($D33-$E33)/($D$3-$E$3))*100)</f>
        <v>283.35127942502481</v>
      </c>
      <c r="H33" s="64">
        <f>$X$84*100</f>
        <v>67.989999999999995</v>
      </c>
      <c r="I33" s="176"/>
      <c r="J33" s="119">
        <f t="shared" ref="J33:J38" si="5">J32/1.2</f>
        <v>17.083333333333336</v>
      </c>
      <c r="K33" s="11">
        <f>W202</f>
        <v>5587.06</v>
      </c>
      <c r="L33" s="11">
        <f>W203</f>
        <v>6628.34</v>
      </c>
      <c r="M33" s="24">
        <f>W204</f>
        <v>3441.45</v>
      </c>
      <c r="N33" s="36">
        <f>IF('Starting Concentrations'!$C$8="DMSO",(($K33-$M33)/($C$4-$E$4))*100,(($K33-$M33)/($C$3-$E$3))*100)</f>
        <v>190.04180616818132</v>
      </c>
      <c r="O33" s="40">
        <f>IF('Starting Concentrations'!$C$8="DMSO",(($L33-$M33)/($D$4-$E$4))*100,(($L33-$M33)/($D$3-$E$3))*100)</f>
        <v>278.98643975803424</v>
      </c>
      <c r="P33" s="64">
        <f>$X$204*100</f>
        <v>74.97</v>
      </c>
      <c r="V33" t="s">
        <v>9</v>
      </c>
      <c r="W33" s="21">
        <v>3058.28</v>
      </c>
      <c r="X33" s="7">
        <v>0.85350000000000004</v>
      </c>
    </row>
    <row r="34" spans="1:24" ht="15.9" customHeight="1" x14ac:dyDescent="0.3">
      <c r="A34" s="173"/>
      <c r="B34" s="119">
        <f t="shared" si="4"/>
        <v>13.078703703703706</v>
      </c>
      <c r="C34" s="11">
        <f>W85</f>
        <v>5488.89</v>
      </c>
      <c r="D34" s="11">
        <f>W86</f>
        <v>6017.68</v>
      </c>
      <c r="E34" s="24">
        <f>W87</f>
        <v>3336.12</v>
      </c>
      <c r="F34" s="36">
        <f>IF('Starting Concentrations'!$C$3="DMSO",(($C34-$E34)/($C$4-$E$4))*100,(($C34-$E34)/($C$3-$E$3))*100)</f>
        <v>190.67598448211726</v>
      </c>
      <c r="G34" s="40">
        <f>IF('Starting Concentrations'!$C$3="DMSO",(($D34-$E34)/($D$4-$E$4))*100,(($D34-$E34)/($D$3-$E$3))*100)</f>
        <v>234.74888602918651</v>
      </c>
      <c r="H34" s="64">
        <f>$X$87*100</f>
        <v>74.91</v>
      </c>
      <c r="I34" s="176"/>
      <c r="J34" s="119">
        <f t="shared" si="5"/>
        <v>14.236111111111114</v>
      </c>
      <c r="K34" s="11">
        <f>W205</f>
        <v>4322.42</v>
      </c>
      <c r="L34" s="11">
        <f>W206</f>
        <v>5012.4399999999996</v>
      </c>
      <c r="M34" s="24">
        <f>W207</f>
        <v>2861.25</v>
      </c>
      <c r="N34" s="36">
        <f>IF('Starting Concentrations'!$C$8="DMSO",(($K34-$M34)/($C$4-$E$4))*100,(($K34-$M34)/($C$3-$E$3))*100)</f>
        <v>129.4193194097536</v>
      </c>
      <c r="O34" s="40">
        <f>IF('Starting Concentrations'!$C$8="DMSO",(($L34-$M34)/($D$4-$E$4))*100,(($L34-$M34)/($D$3-$E$3))*100)</f>
        <v>188.31928285666763</v>
      </c>
      <c r="P34" s="64">
        <f>$X$207*100</f>
        <v>90.77</v>
      </c>
      <c r="V34" t="s">
        <v>10</v>
      </c>
      <c r="W34" s="21">
        <v>4685.54</v>
      </c>
      <c r="X34" s="7">
        <v>0.90580000000000005</v>
      </c>
    </row>
    <row r="35" spans="1:24" ht="15.9" customHeight="1" x14ac:dyDescent="0.3">
      <c r="A35" s="173"/>
      <c r="B35" s="119">
        <f t="shared" si="4"/>
        <v>10.898919753086423</v>
      </c>
      <c r="C35" s="11">
        <f>W88</f>
        <v>5201.6499999999996</v>
      </c>
      <c r="D35" s="11">
        <f>W89</f>
        <v>5427.66</v>
      </c>
      <c r="E35" s="24">
        <f>W90</f>
        <v>3108.3</v>
      </c>
      <c r="F35" s="36">
        <f>IF('Starting Concentrations'!$C$3="DMSO",(($C35-$E35)/($C$4-$E$4))*100,(($C35-$E35)/($C$3-$E$3))*100)</f>
        <v>185.41301305557027</v>
      </c>
      <c r="G35" s="40">
        <f>IF('Starting Concentrations'!$C$3="DMSO",(($D35-$E35)/($D$4-$E$4))*100,(($D35-$E35)/($D$3-$E$3))*100)</f>
        <v>203.04120597736164</v>
      </c>
      <c r="H35" s="64">
        <f>$X$90*100</f>
        <v>77.790000000000006</v>
      </c>
      <c r="I35" s="176"/>
      <c r="J35" s="119">
        <f t="shared" si="5"/>
        <v>11.863425925925929</v>
      </c>
      <c r="K35" s="11">
        <f>W208</f>
        <v>3983.8</v>
      </c>
      <c r="L35" s="11">
        <f>W209</f>
        <v>4563.3100000000004</v>
      </c>
      <c r="M35" s="24">
        <f>W210</f>
        <v>2753.38</v>
      </c>
      <c r="N35" s="36">
        <f>IF('Starting Concentrations'!$C$8="DMSO",(($K35-$M35)/($C$4-$E$4))*100,(($K35-$M35)/($C$3-$E$3))*100)</f>
        <v>108.98124036775256</v>
      </c>
      <c r="O35" s="40">
        <f>IF('Starting Concentrations'!$C$8="DMSO",(($L35-$M35)/($D$4-$E$4))*100,(($L35-$M35)/($D$3-$E$3))*100)</f>
        <v>158.44473041468606</v>
      </c>
      <c r="P35" s="64">
        <f>$X$210*100</f>
        <v>93.74</v>
      </c>
      <c r="V35" t="s">
        <v>11</v>
      </c>
      <c r="W35" s="21">
        <v>4691.24</v>
      </c>
      <c r="X35" s="7">
        <v>0.90200000000000002</v>
      </c>
    </row>
    <row r="36" spans="1:24" ht="15.9" customHeight="1" x14ac:dyDescent="0.3">
      <c r="A36" s="173"/>
      <c r="B36" s="121">
        <f t="shared" si="4"/>
        <v>9.0824331275720187</v>
      </c>
      <c r="C36" s="11">
        <f>W91</f>
        <v>4468.45</v>
      </c>
      <c r="D36" s="11">
        <f>W92</f>
        <v>4890.93</v>
      </c>
      <c r="E36" s="24">
        <f>W93</f>
        <v>2871.56</v>
      </c>
      <c r="F36" s="36">
        <f>IF('Starting Concentrations'!$C$3="DMSO",(($C36-$E36)/($C$4-$E$4))*100,(($C36-$E36)/($C$3-$E$3))*100)</f>
        <v>141.44036420966856</v>
      </c>
      <c r="G36" s="40">
        <f>IF('Starting Concentrations'!$C$3="DMSO",(($D36-$E36)/($D$4-$E$4))*100,(($D36-$E36)/($D$3-$E$3))*100)</f>
        <v>176.77950818954577</v>
      </c>
      <c r="H36" s="64">
        <f>$X$93*100</f>
        <v>80.72</v>
      </c>
      <c r="I36" s="176"/>
      <c r="J36" s="121">
        <f t="shared" si="5"/>
        <v>9.8861882716049418</v>
      </c>
      <c r="K36" s="11">
        <f>W211</f>
        <v>3785.05</v>
      </c>
      <c r="L36" s="11">
        <f>W212</f>
        <v>4211.37</v>
      </c>
      <c r="M36" s="24">
        <f>W213</f>
        <v>2624.19</v>
      </c>
      <c r="N36" s="36">
        <f>IF('Starting Concentrations'!$C$8="DMSO",(($K36-$M36)/($C$4-$E$4))*100,(($K36-$M36)/($C$3-$E$3))*100)</f>
        <v>102.82014490443041</v>
      </c>
      <c r="O36" s="40">
        <f>IF('Starting Concentrations'!$C$8="DMSO",(($L36-$M36)/($D$4-$E$4))*100,(($L36-$M36)/($D$3-$E$3))*100)</f>
        <v>138.94476980854586</v>
      </c>
      <c r="P36" s="64">
        <f>$X$213*100</f>
        <v>95.34</v>
      </c>
      <c r="V36" t="s">
        <v>12</v>
      </c>
      <c r="W36" s="21">
        <v>3129.4</v>
      </c>
      <c r="X36" s="7">
        <v>0.9012</v>
      </c>
    </row>
    <row r="37" spans="1:24" ht="15.9" customHeight="1" x14ac:dyDescent="0.3">
      <c r="A37" s="173"/>
      <c r="B37" s="121">
        <f t="shared" si="4"/>
        <v>7.5686942729766828</v>
      </c>
      <c r="C37" s="11">
        <f>W94</f>
        <v>4045.49</v>
      </c>
      <c r="D37" s="11">
        <f>W95</f>
        <v>4287.08</v>
      </c>
      <c r="E37" s="24">
        <f>W96</f>
        <v>2624.76</v>
      </c>
      <c r="F37" s="36">
        <f>IF('Starting Concentrations'!$C$3="DMSO",(($C37-$E37)/($C$4-$E$4))*100,(($C37-$E37)/($C$3-$E$3))*100)</f>
        <v>125.83745194947826</v>
      </c>
      <c r="G37" s="40">
        <f>IF('Starting Concentrations'!$C$3="DMSO",(($D37-$E37)/($D$4-$E$4))*100,(($D37-$E37)/($D$3-$E$3))*100)</f>
        <v>145.52266897777309</v>
      </c>
      <c r="H37" s="64">
        <f>$X$96*100</f>
        <v>90.45</v>
      </c>
      <c r="I37" s="176"/>
      <c r="J37" s="121">
        <f t="shared" si="5"/>
        <v>8.2384902263374524</v>
      </c>
      <c r="K37" s="11">
        <f>W214</f>
        <v>3659.12</v>
      </c>
      <c r="L37" s="11">
        <f>W215</f>
        <v>4386.03</v>
      </c>
      <c r="M37" s="24">
        <f>W216</f>
        <v>2538.5100000000002</v>
      </c>
      <c r="N37" s="36">
        <f>IF('Starting Concentrations'!$C$8="DMSO",(($K37-$M37)/($C$4-$E$4))*100,(($K37-$M37)/($C$3-$E$3))*100)</f>
        <v>99.255106198295834</v>
      </c>
      <c r="O37" s="40">
        <f>IF('Starting Concentrations'!$C$8="DMSO",(($L37-$M37)/($D$4-$E$4))*100,(($L37-$M37)/($D$3-$E$3))*100)</f>
        <v>161.73543083751343</v>
      </c>
      <c r="P37" s="64">
        <f>$X$216*100</f>
        <v>96.19</v>
      </c>
      <c r="V37" t="s">
        <v>13</v>
      </c>
      <c r="W37" s="21">
        <v>4496.91</v>
      </c>
      <c r="X37" s="7">
        <v>0.92559999999999998</v>
      </c>
    </row>
    <row r="38" spans="1:24" ht="15.9" customHeight="1" x14ac:dyDescent="0.3">
      <c r="A38" s="174"/>
      <c r="B38" s="122">
        <f t="shared" si="4"/>
        <v>6.3072452274805695</v>
      </c>
      <c r="C38" s="20">
        <f>W97</f>
        <v>3965.81</v>
      </c>
      <c r="D38" s="20">
        <f>W98</f>
        <v>4441.2</v>
      </c>
      <c r="E38" s="29">
        <f>W99</f>
        <v>2557.44</v>
      </c>
      <c r="F38" s="37">
        <f>IF('Starting Concentrations'!$C$3="DMSO",(($C38-$E38)/($C$4-$E$4))*100,(($C38-$E38)/($C$3-$E$3))*100)</f>
        <v>124.74269720642681</v>
      </c>
      <c r="G38" s="41">
        <f>IF('Starting Concentrations'!$C$3="DMSO",(($D38-$E38)/($D$4-$E$4))*100,(($D38-$E38)/($D$3-$E$3))*100)</f>
        <v>164.90794968090972</v>
      </c>
      <c r="H38" s="65">
        <f>$X$99*100</f>
        <v>91.33</v>
      </c>
      <c r="I38" s="177"/>
      <c r="J38" s="122">
        <f t="shared" si="5"/>
        <v>6.8654085219478773</v>
      </c>
      <c r="K38" s="20">
        <f>W217</f>
        <v>3565.75</v>
      </c>
      <c r="L38" s="20">
        <f>W218</f>
        <v>4229.37</v>
      </c>
      <c r="M38" s="29">
        <f>W219</f>
        <v>2488.85</v>
      </c>
      <c r="N38" s="37">
        <f>IF('Starting Concentrations'!$C$8="DMSO",(($K38-$M38)/($C$4-$E$4))*100,(($K38-$M38)/($C$3-$E$3))*100)</f>
        <v>95.383607022019106</v>
      </c>
      <c r="O38" s="41">
        <f>IF('Starting Concentrations'!$C$8="DMSO",(($L38-$M38)/($D$4-$E$4))*100,(($L38-$M38)/($D$3-$E$3))*100)</f>
        <v>152.368446393711</v>
      </c>
      <c r="P38" s="65">
        <f>$X$219*100</f>
        <v>96.7</v>
      </c>
      <c r="V38" t="s">
        <v>83</v>
      </c>
      <c r="W38" s="21">
        <v>4305.8900000000003</v>
      </c>
      <c r="X38" s="7">
        <v>0.92969999999999997</v>
      </c>
    </row>
    <row r="39" spans="1:24" ht="15.9" customHeight="1" x14ac:dyDescent="0.3">
      <c r="A39" s="172" t="str">
        <f>'Starting Concentrations'!$A$4</f>
        <v>BPS</v>
      </c>
      <c r="B39" s="15">
        <f>('Starting Concentrations'!$B$4)</f>
        <v>315</v>
      </c>
      <c r="C39" s="16">
        <f>W100</f>
        <v>4160.38</v>
      </c>
      <c r="D39" s="16">
        <f>W101</f>
        <v>4344.63</v>
      </c>
      <c r="E39" s="39">
        <f>W102</f>
        <v>3481.63</v>
      </c>
      <c r="F39" s="35">
        <f>IF('Starting Concentrations'!$C$4="DMSO",(($C39-$E39)/($C$4-$E$4))*100,(($C39-$E39)/($C$3-$E$3))*100)</f>
        <v>60.118509858107025</v>
      </c>
      <c r="G39" s="39">
        <f>IF('Starting Concentrations'!$C$4="DMSO",(($D39-$E39)/($D$4-$E$4))*100,(($D39-$E39)/($D$3-$E$3))*100)</f>
        <v>75.548668925247966</v>
      </c>
      <c r="H39" s="63">
        <f>$X$102*100</f>
        <v>41.510000000000005</v>
      </c>
      <c r="I39" s="175" t="str">
        <f>'Starting Concentrations'!$A$9</f>
        <v>BPE</v>
      </c>
      <c r="J39" s="118">
        <f>('Starting Concentrations'!$B$9)</f>
        <v>79.7</v>
      </c>
      <c r="K39" s="16">
        <f>W220</f>
        <v>4879.03</v>
      </c>
      <c r="L39" s="16">
        <f>W221</f>
        <v>5204.72</v>
      </c>
      <c r="M39" s="39">
        <f>W222</f>
        <v>3697.39</v>
      </c>
      <c r="N39" s="35">
        <f>IF('Starting Concentrations'!$C$9="DMSO",(($K39-$M39)/($C$4-$E$4))*100,(($K39-$M39)/($C$3-$E$3))*100)</f>
        <v>104.66067917308814</v>
      </c>
      <c r="O39" s="39">
        <f>IF('Starting Concentrations'!$C$9="DMSO",(($L39-$M39)/($D$4-$E$4))*100,(($L39-$M39)/($D$3-$E$3))*100)</f>
        <v>131.95454823996994</v>
      </c>
      <c r="P39" s="63">
        <f>$X$222*100</f>
        <v>12.659999999999998</v>
      </c>
      <c r="V39" t="s">
        <v>14</v>
      </c>
      <c r="W39" s="21">
        <v>3206.88</v>
      </c>
      <c r="X39" s="7">
        <v>0.92759999999999998</v>
      </c>
    </row>
    <row r="40" spans="1:24" ht="15.9" customHeight="1" x14ac:dyDescent="0.3">
      <c r="A40" s="173"/>
      <c r="B40" s="2">
        <f>B39/1.2</f>
        <v>262.5</v>
      </c>
      <c r="C40" s="11">
        <f>W103</f>
        <v>4455.66</v>
      </c>
      <c r="D40" s="11">
        <f>W104</f>
        <v>4386.3599999999997</v>
      </c>
      <c r="E40" s="40">
        <f>W105</f>
        <v>3557.74</v>
      </c>
      <c r="F40" s="36">
        <f>IF('Starting Concentrations'!$C$4="DMSO",(($C40-$E40)/($C$4-$E$4))*100,(($C40-$E40)/($C$3-$E$3))*100)</f>
        <v>79.530920621423888</v>
      </c>
      <c r="G40" s="40">
        <f>IF('Starting Concentrations'!$C$4="DMSO",(($D40-$E40)/($D$4-$E$4))*100,(($D40-$E40)/($D$3-$E$3))*100)</f>
        <v>72.538978035734601</v>
      </c>
      <c r="H40" s="64">
        <f>$X$105*100</f>
        <v>55.84</v>
      </c>
      <c r="I40" s="176"/>
      <c r="J40" s="119">
        <f>J39/1.2</f>
        <v>66.416666666666671</v>
      </c>
      <c r="K40" s="11">
        <f>W223</f>
        <v>4510.83</v>
      </c>
      <c r="L40" s="11">
        <f>W224</f>
        <v>6730.69</v>
      </c>
      <c r="M40" s="40">
        <f>W225</f>
        <v>2978.36</v>
      </c>
      <c r="N40" s="36">
        <f>IF('Starting Concentrations'!$C$9="DMSO",(($K40-$M40)/($C$4-$E$4))*100,(($K40-$M40)/($C$3-$E$3))*100)</f>
        <v>135.73453083204902</v>
      </c>
      <c r="O40" s="40">
        <f>IF('Starting Concentrations'!$C$9="DMSO",(($L40-$M40)/($D$4-$E$4))*100,(($L40-$M40)/($D$3-$E$3))*100)</f>
        <v>328.48613773844227</v>
      </c>
      <c r="P40" s="64">
        <f>$X$225*100</f>
        <v>58.58</v>
      </c>
      <c r="V40" t="s">
        <v>15</v>
      </c>
      <c r="W40" s="21">
        <v>4580.5200000000004</v>
      </c>
      <c r="X40" s="7">
        <v>0.94059999999999999</v>
      </c>
    </row>
    <row r="41" spans="1:24" ht="15.9" customHeight="1" x14ac:dyDescent="0.3">
      <c r="A41" s="173"/>
      <c r="B41" s="2">
        <f t="shared" ref="B41:B46" si="6">B40/1.2</f>
        <v>218.75</v>
      </c>
      <c r="C41" s="11">
        <f>W106</f>
        <v>4584.8999999999996</v>
      </c>
      <c r="D41" s="11">
        <f>W107</f>
        <v>4460.9799999999996</v>
      </c>
      <c r="E41" s="40">
        <f>W108</f>
        <v>3621.57</v>
      </c>
      <c r="F41" s="36">
        <f>IF('Starting Concentrations'!$C$4="DMSO",(($C41-$E41)/($C$4-$E$4))*100,(($C41-$E41)/($C$3-$E$3))*100)</f>
        <v>85.324440665355752</v>
      </c>
      <c r="G41" s="40">
        <f>IF('Starting Concentrations'!$C$4="DMSO",(($D41-$E41)/($D$4-$E$4))*100,(($D41-$E41)/($D$3-$E$3))*100)</f>
        <v>73.483555252076883</v>
      </c>
      <c r="H41" s="64">
        <f>$X$108*100</f>
        <v>65.55</v>
      </c>
      <c r="I41" s="176"/>
      <c r="J41" s="119">
        <f t="shared" ref="J41:J46" si="7">J40/1.2</f>
        <v>55.347222222222229</v>
      </c>
      <c r="K41" s="11">
        <f>W226</f>
        <v>4765.41</v>
      </c>
      <c r="L41" s="11">
        <f>W227</f>
        <v>7106.99</v>
      </c>
      <c r="M41" s="40">
        <f>W228</f>
        <v>3142.66</v>
      </c>
      <c r="N41" s="36">
        <f>IF('Starting Concentrations'!$C$9="DMSO",(($K41-$M41)/($C$4-$E$4))*100,(($K41-$M41)/($C$3-$E$3))*100)</f>
        <v>143.73084622061612</v>
      </c>
      <c r="O41" s="40">
        <f>IF('Starting Concentrations'!$C$9="DMSO",(($L41-$M41)/($D$4-$E$4))*100,(($L41-$M41)/($D$3-$E$3))*100)</f>
        <v>347.04502280466778</v>
      </c>
      <c r="P41" s="64">
        <f>$X$228*100</f>
        <v>75.949999999999989</v>
      </c>
      <c r="V41" t="s">
        <v>16</v>
      </c>
      <c r="W41" s="21">
        <v>4278.1899999999996</v>
      </c>
      <c r="X41" s="7">
        <v>0.93589999999999995</v>
      </c>
    </row>
    <row r="42" spans="1:24" ht="15.9" customHeight="1" x14ac:dyDescent="0.3">
      <c r="A42" s="173"/>
      <c r="B42" s="2">
        <f t="shared" si="6"/>
        <v>182.29166666666669</v>
      </c>
      <c r="C42" s="11">
        <f>W109</f>
        <v>4690.83</v>
      </c>
      <c r="D42" s="11">
        <f>W110</f>
        <v>4633.8599999999997</v>
      </c>
      <c r="E42" s="40">
        <f>W111</f>
        <v>3450.12</v>
      </c>
      <c r="F42" s="36">
        <f>IF('Starting Concentrations'!$C$4="DMSO",(($C42-$E42)/($C$4-$E$4))*100,(($C42-$E42)/($C$3-$E$3))*100)</f>
        <v>109.89265026306001</v>
      </c>
      <c r="G42" s="40">
        <f>IF('Starting Concentrations'!$C$4="DMSO",(($D42-$E42)/($D$4-$E$4))*100,(($D42-$E42)/($D$3-$E$3))*100)</f>
        <v>103.62686135987602</v>
      </c>
      <c r="H42" s="64">
        <f>$X$111*100</f>
        <v>81.210000000000008</v>
      </c>
      <c r="I42" s="176"/>
      <c r="J42" s="119">
        <f t="shared" si="7"/>
        <v>46.12268518518519</v>
      </c>
      <c r="K42" s="11">
        <f>W229</f>
        <v>4794.28</v>
      </c>
      <c r="L42" s="11">
        <f>W230</f>
        <v>6854.69</v>
      </c>
      <c r="M42" s="40">
        <f>W231</f>
        <v>3046.64</v>
      </c>
      <c r="N42" s="36">
        <f>IF('Starting Concentrations'!$C$9="DMSO",(($K42-$M42)/($C$4-$E$4))*100,(($K42-$M42)/($C$3-$E$3))*100)</f>
        <v>154.7926520345078</v>
      </c>
      <c r="O42" s="40">
        <f>IF('Starting Concentrations'!$C$9="DMSO",(($L42-$M42)/($D$4-$E$4))*100,(($L42-$M42)/($D$3-$E$3))*100)</f>
        <v>333.36397300207472</v>
      </c>
      <c r="P42" s="64">
        <f>$X$231*100</f>
        <v>81.849999999999994</v>
      </c>
      <c r="V42" t="s">
        <v>17</v>
      </c>
      <c r="W42" s="21">
        <v>3153.32</v>
      </c>
      <c r="X42" s="7">
        <v>0.94169999999999998</v>
      </c>
    </row>
    <row r="43" spans="1:24" ht="15.9" customHeight="1" x14ac:dyDescent="0.3">
      <c r="A43" s="173"/>
      <c r="B43" s="2">
        <f t="shared" si="6"/>
        <v>151.90972222222226</v>
      </c>
      <c r="C43" s="11">
        <f>W112</f>
        <v>4615.99</v>
      </c>
      <c r="D43" s="11">
        <f>W113</f>
        <v>4739.1099999999997</v>
      </c>
      <c r="E43" s="40">
        <f>W114</f>
        <v>3324.57</v>
      </c>
      <c r="F43" s="36">
        <f>IF('Starting Concentrations'!$C$4="DMSO",(($C43-$E43)/($C$4-$E$4))*100,(($C43-$E43)/($C$3-$E$3))*100)</f>
        <v>114.38415617083839</v>
      </c>
      <c r="G43" s="40">
        <f>IF('Starting Concentrations'!$C$4="DMSO",(($D43-$E43)/($D$4-$E$4))*100,(($D43-$E43)/($D$3-$E$3))*100)</f>
        <v>123.83153434706861</v>
      </c>
      <c r="H43" s="64">
        <f>$X$114*100</f>
        <v>85.78</v>
      </c>
      <c r="I43" s="176"/>
      <c r="J43" s="119">
        <f t="shared" si="7"/>
        <v>38.43557098765433</v>
      </c>
      <c r="K43" s="11">
        <f>W232</f>
        <v>4830.5200000000004</v>
      </c>
      <c r="L43" s="11">
        <f>W233</f>
        <v>6153.41</v>
      </c>
      <c r="M43" s="40">
        <f>W234</f>
        <v>2943.84</v>
      </c>
      <c r="N43" s="36">
        <f>IF('Starting Concentrations'!$C$9="DMSO",(($K43-$M43)/($C$4-$E$4))*100,(($K43-$M43)/($C$3-$E$3))*100)</f>
        <v>167.10775716993501</v>
      </c>
      <c r="O43" s="40">
        <f>IF('Starting Concentrations'!$C$9="DMSO",(($L43-$M43)/($D$4-$E$4))*100,(($L43-$M43)/($D$3-$E$3))*100)</f>
        <v>280.9718902924775</v>
      </c>
      <c r="P43" s="64">
        <f>$X$234*100</f>
        <v>86.6</v>
      </c>
      <c r="V43" t="s">
        <v>18</v>
      </c>
      <c r="W43" s="21">
        <v>4498.49</v>
      </c>
      <c r="X43" s="7">
        <v>0.94750000000000001</v>
      </c>
    </row>
    <row r="44" spans="1:24" ht="15.9" customHeight="1" x14ac:dyDescent="0.3">
      <c r="A44" s="173"/>
      <c r="B44" s="2">
        <f t="shared" si="6"/>
        <v>126.59143518518522</v>
      </c>
      <c r="C44" s="11">
        <f>W115</f>
        <v>4600.6499999999996</v>
      </c>
      <c r="D44" s="11">
        <f>W116</f>
        <v>4852.71</v>
      </c>
      <c r="E44" s="40">
        <f>W117</f>
        <v>3341.26</v>
      </c>
      <c r="F44" s="36">
        <f>IF('Starting Concentrations'!$C$4="DMSO",(($C44-$E44)/($C$4-$E$4))*100,(($C44-$E44)/($C$3-$E$3))*100)</f>
        <v>111.54718251226723</v>
      </c>
      <c r="G44" s="40">
        <f>IF('Starting Concentrations'!$C$4="DMSO",(($D44-$E44)/($D$4-$E$4))*100,(($D44-$E44)/($D$3-$E$3))*100)</f>
        <v>132.31522091201163</v>
      </c>
      <c r="H44" s="64">
        <f>$X$117*100</f>
        <v>89.3</v>
      </c>
      <c r="I44" s="176"/>
      <c r="J44" s="119">
        <f t="shared" si="7"/>
        <v>32.029642489711946</v>
      </c>
      <c r="K44" s="11">
        <f>W235</f>
        <v>4768.05</v>
      </c>
      <c r="L44" s="11">
        <f>W236</f>
        <v>6438.37</v>
      </c>
      <c r="M44" s="40">
        <f>W237</f>
        <v>2937</v>
      </c>
      <c r="N44" s="36">
        <f>IF('Starting Concentrations'!$C$9="DMSO",(($K44-$M44)/($C$4-$E$4))*100,(($K44-$M44)/($C$3-$E$3))*100)</f>
        <v>162.18047510230113</v>
      </c>
      <c r="O44" s="40">
        <f>IF('Starting Concentrations'!$C$9="DMSO",(($L44-$M44)/($D$4-$E$4))*100,(($L44-$M44)/($D$3-$E$3))*100)</f>
        <v>306.51661983174449</v>
      </c>
      <c r="P44" s="64">
        <f>$X$237*100</f>
        <v>86</v>
      </c>
      <c r="V44" t="s">
        <v>19</v>
      </c>
      <c r="W44" s="21">
        <v>4364.59</v>
      </c>
      <c r="X44" s="7">
        <v>0.94620000000000004</v>
      </c>
    </row>
    <row r="45" spans="1:24" ht="15.9" customHeight="1" x14ac:dyDescent="0.3">
      <c r="A45" s="173"/>
      <c r="B45" s="2">
        <f t="shared" si="6"/>
        <v>105.49286265432102</v>
      </c>
      <c r="C45" s="11">
        <f>W118</f>
        <v>4635.08</v>
      </c>
      <c r="D45" s="11">
        <f>W119</f>
        <v>4717.24</v>
      </c>
      <c r="E45" s="40">
        <f>W120</f>
        <v>3257.3</v>
      </c>
      <c r="F45" s="36">
        <f>IF('Starting Concentrations'!$C$4="DMSO",(($C45-$E45)/($C$4-$E$4))*100,(($C45-$E45)/($C$3-$E$3))*100)</f>
        <v>122.03326778976455</v>
      </c>
      <c r="G45" s="40">
        <f>IF('Starting Concentrations'!$C$4="DMSO",(($D45-$E45)/($D$4-$E$4))*100,(($D45-$E45)/($D$3-$E$3))*100)</f>
        <v>127.80593709238295</v>
      </c>
      <c r="H45" s="64">
        <f>$X$120*100</f>
        <v>91.43</v>
      </c>
      <c r="I45" s="176"/>
      <c r="J45" s="119">
        <f t="shared" si="7"/>
        <v>26.691368741426622</v>
      </c>
      <c r="K45" s="11">
        <f>W238</f>
        <v>4680.78</v>
      </c>
      <c r="L45" s="11">
        <f>W239</f>
        <v>6048.41</v>
      </c>
      <c r="M45" s="40">
        <f>W240</f>
        <v>2932.08</v>
      </c>
      <c r="N45" s="36">
        <f>IF('Starting Concentrations'!$C$9="DMSO",(($K45-$M45)/($C$4-$E$4))*100,(($K45-$M45)/($C$3-$E$3))*100)</f>
        <v>154.88653876813518</v>
      </c>
      <c r="O45" s="40">
        <f>IF('Starting Concentrations'!$C$9="DMSO",(($L45-$M45)/($D$4-$E$4))*100,(($L45-$M45)/($D$3-$E$3))*100)</f>
        <v>272.8094825397659</v>
      </c>
      <c r="P45" s="64">
        <f>$X$240*100</f>
        <v>87.72</v>
      </c>
      <c r="V45" t="s">
        <v>20</v>
      </c>
      <c r="W45" s="21">
        <v>3151.1</v>
      </c>
      <c r="X45" s="7">
        <v>0.9466</v>
      </c>
    </row>
    <row r="46" spans="1:24" ht="15.9" customHeight="1" thickBot="1" x14ac:dyDescent="0.35">
      <c r="A46" s="174"/>
      <c r="B46" s="120">
        <f t="shared" si="6"/>
        <v>87.910718878600846</v>
      </c>
      <c r="C46" s="14">
        <f>W121</f>
        <v>4605.03</v>
      </c>
      <c r="D46" s="14">
        <f>W122</f>
        <v>4612.3900000000003</v>
      </c>
      <c r="E46" s="41">
        <f>W123</f>
        <v>3086.92</v>
      </c>
      <c r="F46" s="46">
        <f>IF('Starting Concentrations'!$C$4="DMSO",(($C46-$E46)/($C$4-$E$4))*100,(($C46-$E46)/($C$3-$E$3))*100)</f>
        <v>134.46263130856846</v>
      </c>
      <c r="G46" s="47">
        <f>IF('Starting Concentrations'!$C$4="DMSO",(($D46-$E46)/($D$4-$E$4))*100,(($D46-$E46)/($D$3-$E$3))*100)</f>
        <v>133.54255849988184</v>
      </c>
      <c r="H46" s="66">
        <f>$X$123*100</f>
        <v>92.759999999999991</v>
      </c>
      <c r="I46" s="177"/>
      <c r="J46" s="120">
        <f t="shared" si="7"/>
        <v>22.242807284522186</v>
      </c>
      <c r="K46" s="14">
        <f>W241</f>
        <v>4724.62</v>
      </c>
      <c r="L46" s="14">
        <f>W242</f>
        <v>5219.74</v>
      </c>
      <c r="M46" s="41">
        <f>W243</f>
        <v>3005.91</v>
      </c>
      <c r="N46" s="46">
        <f>IF('Starting Concentrations'!$C$9="DMSO",(($K46-$M46)/($C$4-$E$4))*100,(($K46-$M46)/($C$3-$E$3))*100)</f>
        <v>152.23025278560166</v>
      </c>
      <c r="O46" s="47">
        <f>IF('Starting Concentrations'!$C$9="DMSO",(($L46-$M46)/($D$4-$E$4))*100,(($L46-$M46)/($D$3-$E$3))*100)</f>
        <v>193.80290814227311</v>
      </c>
      <c r="P46" s="66">
        <f>$X$243*100</f>
        <v>88.27000000000001</v>
      </c>
      <c r="V46" t="s">
        <v>21</v>
      </c>
      <c r="W46" s="21">
        <v>4504.92</v>
      </c>
      <c r="X46" s="7">
        <v>0.9587</v>
      </c>
    </row>
    <row r="47" spans="1:24" ht="15.9" customHeight="1" x14ac:dyDescent="0.3">
      <c r="V47" t="s">
        <v>22</v>
      </c>
      <c r="W47" s="21">
        <v>4481.92</v>
      </c>
      <c r="X47" s="7">
        <v>0.95750000000000002</v>
      </c>
    </row>
    <row r="48" spans="1:24" ht="15.9" customHeight="1" x14ac:dyDescent="0.3">
      <c r="V48" t="s">
        <v>23</v>
      </c>
      <c r="W48" s="21">
        <v>3201.8</v>
      </c>
      <c r="X48" s="7">
        <v>0.95469999999999999</v>
      </c>
    </row>
    <row r="49" spans="22:24" ht="15.9" customHeight="1" x14ac:dyDescent="0.3">
      <c r="V49" t="s">
        <v>24</v>
      </c>
      <c r="W49" s="21">
        <v>4439.74</v>
      </c>
      <c r="X49" s="7">
        <v>0.95279999999999998</v>
      </c>
    </row>
    <row r="50" spans="22:24" ht="15.9" customHeight="1" x14ac:dyDescent="0.3">
      <c r="V50" t="s">
        <v>84</v>
      </c>
      <c r="W50" s="21">
        <v>4326.42</v>
      </c>
      <c r="X50" s="7">
        <v>0.95589999999999997</v>
      </c>
    </row>
    <row r="51" spans="22:24" ht="15.9" customHeight="1" x14ac:dyDescent="0.3">
      <c r="V51" t="s">
        <v>25</v>
      </c>
      <c r="W51" s="21">
        <v>3261.77</v>
      </c>
      <c r="X51" s="7">
        <v>0.95689999999999997</v>
      </c>
    </row>
    <row r="52" spans="22:24" ht="15.9" customHeight="1" x14ac:dyDescent="0.3">
      <c r="V52" t="s">
        <v>26</v>
      </c>
      <c r="W52" s="21">
        <v>4342.6499999999996</v>
      </c>
      <c r="X52" s="7">
        <v>0.498</v>
      </c>
    </row>
    <row r="53" spans="22:24" ht="15.9" customHeight="1" x14ac:dyDescent="0.3">
      <c r="V53" t="s">
        <v>27</v>
      </c>
      <c r="W53" s="21">
        <v>6175.96</v>
      </c>
      <c r="X53" s="7">
        <v>0.49919999999999998</v>
      </c>
    </row>
    <row r="54" spans="22:24" ht="15.9" customHeight="1" x14ac:dyDescent="0.3">
      <c r="V54" t="s">
        <v>28</v>
      </c>
      <c r="W54" s="21">
        <v>2863.68</v>
      </c>
      <c r="X54" s="7">
        <v>0.505</v>
      </c>
    </row>
    <row r="55" spans="22:24" ht="15.9" customHeight="1" x14ac:dyDescent="0.3">
      <c r="V55" t="s">
        <v>29</v>
      </c>
      <c r="W55" s="21">
        <v>5283.8</v>
      </c>
      <c r="X55" s="7">
        <v>0.75390000000000001</v>
      </c>
    </row>
    <row r="56" spans="22:24" ht="15.9" customHeight="1" x14ac:dyDescent="0.3">
      <c r="V56" t="s">
        <v>30</v>
      </c>
      <c r="W56" s="21">
        <v>6995.85</v>
      </c>
      <c r="X56" s="7">
        <v>0.752</v>
      </c>
    </row>
    <row r="57" spans="22:24" ht="15.9" customHeight="1" x14ac:dyDescent="0.3">
      <c r="V57" t="s">
        <v>31</v>
      </c>
      <c r="W57" s="21">
        <v>3236.34</v>
      </c>
      <c r="X57" s="7">
        <v>0.75070000000000003</v>
      </c>
    </row>
    <row r="58" spans="22:24" ht="15.9" customHeight="1" x14ac:dyDescent="0.3">
      <c r="V58" t="s">
        <v>32</v>
      </c>
      <c r="W58" s="21">
        <v>5115.12</v>
      </c>
      <c r="X58" s="7">
        <v>0.78979999999999995</v>
      </c>
    </row>
    <row r="59" spans="22:24" ht="15.9" customHeight="1" x14ac:dyDescent="0.3">
      <c r="V59" t="s">
        <v>33</v>
      </c>
      <c r="W59" s="21">
        <v>7107.4</v>
      </c>
      <c r="X59" s="7">
        <v>0.78979999999999995</v>
      </c>
    </row>
    <row r="60" spans="22:24" ht="15" customHeight="1" x14ac:dyDescent="0.3">
      <c r="V60" t="s">
        <v>34</v>
      </c>
      <c r="W60" s="21">
        <v>2419.16</v>
      </c>
      <c r="X60" s="7">
        <v>0.81110000000000004</v>
      </c>
    </row>
    <row r="61" spans="22:24" ht="15" customHeight="1" x14ac:dyDescent="0.3">
      <c r="V61" t="s">
        <v>35</v>
      </c>
      <c r="W61" s="21">
        <v>5073.83</v>
      </c>
      <c r="X61" s="7">
        <v>0.8236</v>
      </c>
    </row>
    <row r="62" spans="22:24" ht="15" customHeight="1" x14ac:dyDescent="0.3">
      <c r="V62" t="s">
        <v>36</v>
      </c>
      <c r="W62" s="21">
        <v>6693.08</v>
      </c>
      <c r="X62" s="7">
        <v>0.80630000000000002</v>
      </c>
    </row>
    <row r="63" spans="22:24" ht="15" customHeight="1" x14ac:dyDescent="0.3">
      <c r="V63" t="s">
        <v>37</v>
      </c>
      <c r="W63" s="21">
        <v>3130.89</v>
      </c>
      <c r="X63" s="7">
        <v>0.81159999999999999</v>
      </c>
    </row>
    <row r="64" spans="22:24" x14ac:dyDescent="0.3">
      <c r="V64" t="s">
        <v>38</v>
      </c>
      <c r="W64" s="21">
        <v>4930.54</v>
      </c>
      <c r="X64" s="7">
        <v>0.84619999999999995</v>
      </c>
    </row>
    <row r="65" spans="1:24" x14ac:dyDescent="0.3">
      <c r="V65" t="s">
        <v>39</v>
      </c>
      <c r="W65" s="21">
        <v>5951.26</v>
      </c>
      <c r="X65" s="7">
        <v>0.84789999999999999</v>
      </c>
    </row>
    <row r="66" spans="1:24" x14ac:dyDescent="0.3">
      <c r="V66" t="s">
        <v>40</v>
      </c>
      <c r="W66" s="21">
        <v>3096.38</v>
      </c>
      <c r="X66" s="7">
        <v>0.84419999999999995</v>
      </c>
    </row>
    <row r="67" spans="1:24" x14ac:dyDescent="0.3">
      <c r="V67" t="s">
        <v>41</v>
      </c>
      <c r="W67" s="21">
        <v>4620.22</v>
      </c>
      <c r="X67" s="7">
        <v>0.90720000000000001</v>
      </c>
    </row>
    <row r="68" spans="1:24" x14ac:dyDescent="0.3">
      <c r="A68"/>
      <c r="B68"/>
      <c r="V68" t="s">
        <v>42</v>
      </c>
      <c r="W68" s="21">
        <v>4938.71</v>
      </c>
      <c r="X68" s="7">
        <v>0.90459999999999996</v>
      </c>
    </row>
    <row r="69" spans="1:24" x14ac:dyDescent="0.3">
      <c r="A69"/>
      <c r="B69"/>
      <c r="V69" t="s">
        <v>43</v>
      </c>
      <c r="W69" s="21">
        <v>2763.21</v>
      </c>
      <c r="X69" s="7">
        <v>0.90549999999999997</v>
      </c>
    </row>
    <row r="70" spans="1:24" x14ac:dyDescent="0.3">
      <c r="C70" s="4"/>
      <c r="G70" s="4"/>
      <c r="H70" s="4"/>
      <c r="V70" t="s">
        <v>44</v>
      </c>
      <c r="W70" s="21">
        <v>4331.72</v>
      </c>
      <c r="X70" s="7">
        <v>0.91879999999999995</v>
      </c>
    </row>
    <row r="71" spans="1:24" x14ac:dyDescent="0.3">
      <c r="A71" s="3"/>
      <c r="B71"/>
      <c r="V71" t="s">
        <v>45</v>
      </c>
      <c r="W71" s="21">
        <v>4924.8599999999997</v>
      </c>
      <c r="X71" s="7">
        <v>0.91900000000000004</v>
      </c>
    </row>
    <row r="72" spans="1:24" x14ac:dyDescent="0.3">
      <c r="C72" s="4"/>
      <c r="D72" s="4"/>
      <c r="E72" s="4"/>
      <c r="F72" s="4"/>
      <c r="G72" s="4"/>
      <c r="H72" s="4"/>
      <c r="V72" t="s">
        <v>46</v>
      </c>
      <c r="W72" s="21">
        <v>2618.84</v>
      </c>
      <c r="X72" s="7">
        <v>0.91920000000000002</v>
      </c>
    </row>
    <row r="73" spans="1:24" x14ac:dyDescent="0.3">
      <c r="C73" s="4"/>
      <c r="D73" s="4"/>
      <c r="E73" s="4"/>
      <c r="F73" s="4"/>
      <c r="G73" s="4"/>
      <c r="H73" s="4"/>
      <c r="V73" t="s">
        <v>47</v>
      </c>
      <c r="W73" s="21">
        <v>4339.67</v>
      </c>
      <c r="X73" s="7">
        <v>0.92520000000000002</v>
      </c>
    </row>
    <row r="74" spans="1:24" x14ac:dyDescent="0.3">
      <c r="C74" s="4"/>
      <c r="D74" s="4"/>
      <c r="E74" s="4"/>
      <c r="F74" s="4"/>
      <c r="G74" s="4"/>
      <c r="H74" s="4"/>
      <c r="V74" t="s">
        <v>48</v>
      </c>
      <c r="W74" s="21">
        <v>4459.68</v>
      </c>
      <c r="X74" s="7">
        <v>0.92979999999999996</v>
      </c>
    </row>
    <row r="75" spans="1:24" x14ac:dyDescent="0.3">
      <c r="C75" s="4"/>
      <c r="D75" s="4"/>
      <c r="E75" s="4"/>
      <c r="F75" s="4"/>
      <c r="G75" s="4"/>
      <c r="H75" s="4"/>
      <c r="V75" t="s">
        <v>49</v>
      </c>
      <c r="W75" s="21">
        <v>2593.41</v>
      </c>
      <c r="X75" s="7">
        <v>0.93359999999999999</v>
      </c>
    </row>
    <row r="76" spans="1:24" x14ac:dyDescent="0.3">
      <c r="A76"/>
      <c r="B76"/>
      <c r="V76" t="s">
        <v>85</v>
      </c>
      <c r="W76" s="21">
        <v>5331.25</v>
      </c>
      <c r="X76" s="7">
        <v>0.53969999999999996</v>
      </c>
    </row>
    <row r="77" spans="1:24" x14ac:dyDescent="0.3">
      <c r="C77" s="4"/>
      <c r="D77" s="4"/>
      <c r="E77" s="4"/>
      <c r="F77" s="4"/>
      <c r="G77" s="4"/>
      <c r="H77" s="4"/>
      <c r="V77" t="s">
        <v>50</v>
      </c>
      <c r="W77" s="21">
        <v>11279.84</v>
      </c>
      <c r="X77" s="7">
        <v>0.5464</v>
      </c>
    </row>
    <row r="78" spans="1:24" x14ac:dyDescent="0.3">
      <c r="A78" s="6"/>
      <c r="B78"/>
      <c r="V78" t="s">
        <v>51</v>
      </c>
      <c r="W78" s="21">
        <v>3165.39</v>
      </c>
      <c r="X78" s="7">
        <v>0.55400000000000005</v>
      </c>
    </row>
    <row r="79" spans="1:24" x14ac:dyDescent="0.3">
      <c r="C79" s="4"/>
      <c r="D79" s="4"/>
      <c r="E79" s="4"/>
      <c r="F79" s="4"/>
      <c r="G79" s="4"/>
      <c r="H79" s="4"/>
      <c r="V79" t="s">
        <v>52</v>
      </c>
      <c r="W79" s="21">
        <v>5758.68</v>
      </c>
      <c r="X79" s="7">
        <v>0.6139</v>
      </c>
    </row>
    <row r="80" spans="1:24" x14ac:dyDescent="0.3">
      <c r="C80" s="4"/>
      <c r="D80" s="4"/>
      <c r="E80" s="4"/>
      <c r="F80" s="4"/>
      <c r="G80" s="4"/>
      <c r="H80" s="4"/>
      <c r="V80" t="s">
        <v>53</v>
      </c>
      <c r="W80" s="21">
        <v>9129.3700000000008</v>
      </c>
      <c r="X80" s="7">
        <v>0.63100000000000001</v>
      </c>
    </row>
    <row r="81" spans="1:24" x14ac:dyDescent="0.3">
      <c r="C81" s="4"/>
      <c r="D81" s="4"/>
      <c r="E81" s="4"/>
      <c r="F81" s="4"/>
      <c r="G81" s="4"/>
      <c r="H81" s="4"/>
      <c r="V81" t="s">
        <v>54</v>
      </c>
      <c r="W81" s="21">
        <v>3343.6</v>
      </c>
      <c r="X81" s="7">
        <v>0.62329999999999997</v>
      </c>
    </row>
    <row r="82" spans="1:24" x14ac:dyDescent="0.3">
      <c r="C82" s="4"/>
      <c r="D82" s="4"/>
      <c r="E82" s="4"/>
      <c r="F82" s="4"/>
      <c r="G82" s="4"/>
      <c r="H82" s="4"/>
      <c r="V82" t="s">
        <v>55</v>
      </c>
      <c r="W82" s="21">
        <v>5700.51</v>
      </c>
      <c r="X82" s="7">
        <v>0.67700000000000005</v>
      </c>
    </row>
    <row r="83" spans="1:24" x14ac:dyDescent="0.3">
      <c r="A83"/>
      <c r="B83"/>
      <c r="V83" t="s">
        <v>56</v>
      </c>
      <c r="W83" s="21">
        <v>6732.1</v>
      </c>
      <c r="X83" s="7">
        <v>0.68700000000000006</v>
      </c>
    </row>
    <row r="84" spans="1:24" x14ac:dyDescent="0.3">
      <c r="A84"/>
      <c r="B84"/>
      <c r="V84" t="s">
        <v>57</v>
      </c>
      <c r="W84" s="21">
        <v>3495.35</v>
      </c>
      <c r="X84" s="7">
        <v>0.67989999999999995</v>
      </c>
    </row>
    <row r="85" spans="1:24" x14ac:dyDescent="0.3">
      <c r="C85" s="4"/>
      <c r="D85" s="4"/>
      <c r="E85" s="4"/>
      <c r="F85" s="4"/>
      <c r="G85" s="4"/>
      <c r="H85" s="4"/>
      <c r="V85" t="s">
        <v>58</v>
      </c>
      <c r="W85" s="21">
        <v>5488.89</v>
      </c>
      <c r="X85" s="7">
        <v>0.73319999999999996</v>
      </c>
    </row>
    <row r="86" spans="1:24" x14ac:dyDescent="0.3">
      <c r="A86" s="3"/>
      <c r="B86" s="5"/>
      <c r="C86" s="4"/>
      <c r="D86" s="4"/>
      <c r="E86" s="4"/>
      <c r="F86" s="4"/>
      <c r="G86" s="4"/>
      <c r="H86" s="4"/>
      <c r="V86" t="s">
        <v>59</v>
      </c>
      <c r="W86" s="21">
        <v>6017.68</v>
      </c>
      <c r="X86" s="7">
        <v>0.74950000000000006</v>
      </c>
    </row>
    <row r="87" spans="1:24" x14ac:dyDescent="0.3">
      <c r="C87" s="4"/>
      <c r="D87" s="4"/>
      <c r="E87" s="4"/>
      <c r="F87" s="4"/>
      <c r="G87" s="4"/>
      <c r="H87" s="4"/>
      <c r="V87" t="s">
        <v>60</v>
      </c>
      <c r="W87" s="21">
        <v>3336.12</v>
      </c>
      <c r="X87" s="7">
        <v>0.74909999999999999</v>
      </c>
    </row>
    <row r="88" spans="1:24" x14ac:dyDescent="0.3">
      <c r="A88" s="3"/>
      <c r="B88" s="5"/>
      <c r="C88" s="4"/>
      <c r="D88" s="4"/>
      <c r="E88" s="4"/>
      <c r="F88" s="4"/>
      <c r="G88" s="4"/>
      <c r="H88" s="4"/>
      <c r="V88" t="s">
        <v>61</v>
      </c>
      <c r="W88" s="21">
        <v>5201.6499999999996</v>
      </c>
      <c r="X88" s="7">
        <v>0.78879999999999995</v>
      </c>
    </row>
    <row r="89" spans="1:24" x14ac:dyDescent="0.3">
      <c r="V89" t="s">
        <v>62</v>
      </c>
      <c r="W89" s="21">
        <v>5427.66</v>
      </c>
      <c r="X89" s="7">
        <v>0.78420000000000001</v>
      </c>
    </row>
    <row r="90" spans="1:24" x14ac:dyDescent="0.3">
      <c r="V90" t="s">
        <v>86</v>
      </c>
      <c r="W90" s="21">
        <v>3108.3</v>
      </c>
      <c r="X90" s="7">
        <v>0.77790000000000004</v>
      </c>
    </row>
    <row r="91" spans="1:24" x14ac:dyDescent="0.3">
      <c r="V91" t="s">
        <v>63</v>
      </c>
      <c r="W91" s="21">
        <v>4468.45</v>
      </c>
      <c r="X91" s="7">
        <v>0.81120000000000003</v>
      </c>
    </row>
    <row r="92" spans="1:24" x14ac:dyDescent="0.3">
      <c r="V92" t="s">
        <v>64</v>
      </c>
      <c r="W92" s="21">
        <v>4890.93</v>
      </c>
      <c r="X92" s="7">
        <v>0.8246</v>
      </c>
    </row>
    <row r="93" spans="1:24" x14ac:dyDescent="0.3">
      <c r="V93" t="s">
        <v>65</v>
      </c>
      <c r="W93" s="21">
        <v>2871.56</v>
      </c>
      <c r="X93" s="7">
        <v>0.80720000000000003</v>
      </c>
    </row>
    <row r="94" spans="1:24" x14ac:dyDescent="0.3">
      <c r="D94" s="21"/>
      <c r="E94" s="7"/>
      <c r="F94" s="7"/>
      <c r="G94" s="7"/>
      <c r="H94" s="7"/>
      <c r="V94" t="s">
        <v>66</v>
      </c>
      <c r="W94" s="21">
        <v>4045.49</v>
      </c>
      <c r="X94" s="7">
        <v>0.9032</v>
      </c>
    </row>
    <row r="95" spans="1:24" x14ac:dyDescent="0.3">
      <c r="D95" s="21"/>
      <c r="E95" s="7"/>
      <c r="F95" s="7"/>
      <c r="G95" s="7"/>
      <c r="H95" s="7"/>
      <c r="V95" t="s">
        <v>67</v>
      </c>
      <c r="W95" s="21">
        <v>4287.08</v>
      </c>
      <c r="X95" s="7">
        <v>0.90690000000000004</v>
      </c>
    </row>
    <row r="96" spans="1:24" x14ac:dyDescent="0.3">
      <c r="D96" s="21"/>
      <c r="E96" s="7"/>
      <c r="F96" s="7"/>
      <c r="G96" s="7"/>
      <c r="H96" s="7"/>
      <c r="V96" t="s">
        <v>68</v>
      </c>
      <c r="W96" s="21">
        <v>2624.76</v>
      </c>
      <c r="X96" s="7">
        <v>0.90449999999999997</v>
      </c>
    </row>
    <row r="97" spans="4:25" x14ac:dyDescent="0.3">
      <c r="D97" s="21"/>
      <c r="E97" s="7"/>
      <c r="F97" s="7"/>
      <c r="G97" s="7"/>
      <c r="H97" s="7"/>
      <c r="V97" t="s">
        <v>69</v>
      </c>
      <c r="W97" s="21">
        <v>3965.81</v>
      </c>
      <c r="X97" s="7">
        <v>0.90629999999999999</v>
      </c>
    </row>
    <row r="98" spans="4:25" x14ac:dyDescent="0.3">
      <c r="D98" s="21"/>
      <c r="E98" s="7"/>
      <c r="F98" s="7"/>
      <c r="G98" s="7"/>
      <c r="H98" s="7"/>
      <c r="V98" t="s">
        <v>70</v>
      </c>
      <c r="W98" s="21">
        <v>4441.2</v>
      </c>
      <c r="X98" s="7">
        <v>0.90639999999999998</v>
      </c>
    </row>
    <row r="99" spans="4:25" x14ac:dyDescent="0.3">
      <c r="D99" s="21"/>
      <c r="E99" s="7"/>
      <c r="F99" s="7"/>
      <c r="G99" s="7"/>
      <c r="H99" s="7"/>
      <c r="V99" t="s">
        <v>71</v>
      </c>
      <c r="W99" s="21">
        <v>2557.44</v>
      </c>
      <c r="X99" s="7">
        <v>0.9133</v>
      </c>
    </row>
    <row r="100" spans="4:25" x14ac:dyDescent="0.3">
      <c r="D100" s="21"/>
      <c r="E100" s="7"/>
      <c r="F100" s="7"/>
      <c r="G100" s="7"/>
      <c r="H100" s="7"/>
      <c r="V100" t="s">
        <v>72</v>
      </c>
      <c r="W100" s="21">
        <v>4160.38</v>
      </c>
      <c r="X100" s="7">
        <v>0.41660000000000003</v>
      </c>
    </row>
    <row r="101" spans="4:25" x14ac:dyDescent="0.3">
      <c r="D101" s="21"/>
      <c r="E101" s="7"/>
      <c r="F101" s="7"/>
      <c r="G101" s="7"/>
      <c r="H101" s="7"/>
      <c r="V101" t="s">
        <v>73</v>
      </c>
      <c r="W101" s="21">
        <v>4344.63</v>
      </c>
      <c r="X101" s="7">
        <v>0.41660000000000003</v>
      </c>
      <c r="Y101" s="21"/>
    </row>
    <row r="102" spans="4:25" x14ac:dyDescent="0.3">
      <c r="D102" s="21"/>
      <c r="E102" s="7"/>
      <c r="F102" s="7"/>
      <c r="G102" s="7"/>
      <c r="H102" s="7"/>
      <c r="V102" t="s">
        <v>74</v>
      </c>
      <c r="W102" s="21">
        <v>3481.63</v>
      </c>
      <c r="X102" s="7">
        <v>0.41510000000000002</v>
      </c>
      <c r="Y102" s="21"/>
    </row>
    <row r="103" spans="4:25" x14ac:dyDescent="0.3">
      <c r="D103" s="21"/>
      <c r="E103" s="7"/>
      <c r="F103" s="7"/>
      <c r="G103" s="7"/>
      <c r="H103" s="7"/>
      <c r="V103" t="s">
        <v>75</v>
      </c>
      <c r="W103" s="21">
        <v>4455.66</v>
      </c>
      <c r="X103" s="7">
        <v>0.54479999999999995</v>
      </c>
      <c r="Y103" s="21"/>
    </row>
    <row r="104" spans="4:25" x14ac:dyDescent="0.3">
      <c r="D104" s="21"/>
      <c r="E104" s="7"/>
      <c r="F104" s="7"/>
      <c r="G104" s="7"/>
      <c r="H104" s="7"/>
      <c r="V104" t="s">
        <v>76</v>
      </c>
      <c r="W104" s="21">
        <v>4386.3599999999997</v>
      </c>
      <c r="X104" s="7">
        <v>0.55020000000000002</v>
      </c>
      <c r="Y104" s="21"/>
    </row>
    <row r="105" spans="4:25" x14ac:dyDescent="0.3">
      <c r="D105" s="21"/>
      <c r="E105" s="7"/>
      <c r="F105" s="7"/>
      <c r="G105" s="7"/>
      <c r="H105" s="7"/>
      <c r="V105" t="s">
        <v>77</v>
      </c>
      <c r="W105" s="21">
        <v>3557.74</v>
      </c>
      <c r="X105" s="7">
        <v>0.55840000000000001</v>
      </c>
      <c r="Y105" s="21"/>
    </row>
    <row r="106" spans="4:25" x14ac:dyDescent="0.3">
      <c r="D106" s="21"/>
      <c r="E106" s="7"/>
      <c r="F106" s="7"/>
      <c r="G106" s="7"/>
      <c r="H106" s="7"/>
      <c r="V106" t="s">
        <v>78</v>
      </c>
      <c r="W106" s="21">
        <v>4584.8999999999996</v>
      </c>
      <c r="X106" s="7">
        <v>0.65659999999999996</v>
      </c>
      <c r="Y106" s="21"/>
    </row>
    <row r="107" spans="4:25" x14ac:dyDescent="0.3">
      <c r="D107" s="21"/>
      <c r="E107" s="7"/>
      <c r="F107" s="7"/>
      <c r="G107" s="7"/>
      <c r="H107" s="7"/>
      <c r="V107" t="s">
        <v>79</v>
      </c>
      <c r="W107" s="21">
        <v>4460.9799999999996</v>
      </c>
      <c r="X107" s="7">
        <v>0.6613</v>
      </c>
      <c r="Y107" s="21"/>
    </row>
    <row r="108" spans="4:25" x14ac:dyDescent="0.3">
      <c r="D108" s="21"/>
      <c r="E108" s="7"/>
      <c r="F108" s="7"/>
      <c r="G108" s="7"/>
      <c r="H108" s="7"/>
      <c r="V108" t="s">
        <v>80</v>
      </c>
      <c r="W108" s="21">
        <v>3621.57</v>
      </c>
      <c r="X108" s="7">
        <v>0.65549999999999997</v>
      </c>
      <c r="Y108" s="21"/>
    </row>
    <row r="109" spans="4:25" x14ac:dyDescent="0.3">
      <c r="D109" s="21"/>
      <c r="E109" s="7"/>
      <c r="F109" s="7"/>
      <c r="G109" s="7"/>
      <c r="H109" s="7"/>
      <c r="V109" t="s">
        <v>81</v>
      </c>
      <c r="W109" s="21">
        <v>4690.83</v>
      </c>
      <c r="X109" s="7">
        <v>0.80310000000000004</v>
      </c>
      <c r="Y109" s="21"/>
    </row>
    <row r="110" spans="4:25" x14ac:dyDescent="0.3">
      <c r="D110" s="21"/>
      <c r="E110" s="7"/>
      <c r="F110" s="7"/>
      <c r="G110" s="7"/>
      <c r="H110" s="7"/>
      <c r="V110" t="s">
        <v>82</v>
      </c>
      <c r="W110" s="21">
        <v>4633.8599999999997</v>
      </c>
      <c r="X110" s="7">
        <v>0.8145</v>
      </c>
      <c r="Y110" s="21"/>
    </row>
    <row r="111" spans="4:25" x14ac:dyDescent="0.3">
      <c r="D111" s="21"/>
      <c r="E111" s="7"/>
      <c r="F111" s="7"/>
      <c r="G111" s="7"/>
      <c r="H111" s="7"/>
      <c r="V111" t="s">
        <v>96</v>
      </c>
      <c r="W111" s="21">
        <v>3450.12</v>
      </c>
      <c r="X111" s="7">
        <v>0.81210000000000004</v>
      </c>
      <c r="Y111" s="21"/>
    </row>
    <row r="112" spans="4:25" x14ac:dyDescent="0.3">
      <c r="D112" s="21"/>
      <c r="E112" s="7"/>
      <c r="F112" s="7"/>
      <c r="G112" s="7"/>
      <c r="H112" s="7"/>
      <c r="V112" t="s">
        <v>97</v>
      </c>
      <c r="W112" s="21">
        <v>4615.99</v>
      </c>
      <c r="X112" s="7">
        <v>0.85899999999999999</v>
      </c>
      <c r="Y112" s="21"/>
    </row>
    <row r="113" spans="4:25" x14ac:dyDescent="0.3">
      <c r="D113" s="21"/>
      <c r="E113" s="7"/>
      <c r="F113" s="7"/>
      <c r="G113" s="7"/>
      <c r="H113" s="7"/>
      <c r="V113" t="s">
        <v>98</v>
      </c>
      <c r="W113" s="21">
        <v>4739.1099999999997</v>
      </c>
      <c r="X113" s="7">
        <v>0.86150000000000004</v>
      </c>
      <c r="Y113" s="21"/>
    </row>
    <row r="114" spans="4:25" x14ac:dyDescent="0.3">
      <c r="D114" s="21"/>
      <c r="E114" s="7"/>
      <c r="F114" s="7"/>
      <c r="G114" s="7"/>
      <c r="H114" s="7"/>
      <c r="V114" t="s">
        <v>99</v>
      </c>
      <c r="W114" s="21">
        <v>3324.57</v>
      </c>
      <c r="X114" s="7">
        <v>0.85780000000000001</v>
      </c>
      <c r="Y114" s="21"/>
    </row>
    <row r="115" spans="4:25" x14ac:dyDescent="0.3">
      <c r="D115" s="21"/>
      <c r="E115" s="7"/>
      <c r="F115" s="7"/>
      <c r="G115" s="7"/>
      <c r="H115" s="7"/>
      <c r="V115" t="s">
        <v>100</v>
      </c>
      <c r="W115" s="21">
        <v>4600.6499999999996</v>
      </c>
      <c r="X115" s="7">
        <v>0.88529999999999998</v>
      </c>
      <c r="Y115" s="21"/>
    </row>
    <row r="116" spans="4:25" x14ac:dyDescent="0.3">
      <c r="D116" s="21"/>
      <c r="E116" s="7"/>
      <c r="F116" s="7"/>
      <c r="G116" s="7"/>
      <c r="H116" s="7"/>
      <c r="V116" t="s">
        <v>101</v>
      </c>
      <c r="W116" s="21">
        <v>4852.71</v>
      </c>
      <c r="X116" s="7">
        <v>0.89059999999999995</v>
      </c>
      <c r="Y116" s="21"/>
    </row>
    <row r="117" spans="4:25" x14ac:dyDescent="0.3">
      <c r="D117" s="21"/>
      <c r="E117" s="7"/>
      <c r="F117" s="7"/>
      <c r="G117" s="7"/>
      <c r="H117" s="7"/>
      <c r="V117" t="s">
        <v>102</v>
      </c>
      <c r="W117" s="21">
        <v>3341.26</v>
      </c>
      <c r="X117" s="7">
        <v>0.89300000000000002</v>
      </c>
      <c r="Y117" s="21"/>
    </row>
    <row r="118" spans="4:25" x14ac:dyDescent="0.3">
      <c r="D118" s="21"/>
      <c r="E118" s="7"/>
      <c r="F118" s="7"/>
      <c r="G118" s="7"/>
      <c r="H118" s="7"/>
      <c r="V118" t="s">
        <v>103</v>
      </c>
      <c r="W118" s="21">
        <v>4635.08</v>
      </c>
      <c r="X118" s="7">
        <v>0.91410000000000002</v>
      </c>
      <c r="Y118" s="21"/>
    </row>
    <row r="119" spans="4:25" x14ac:dyDescent="0.3">
      <c r="D119" s="21"/>
      <c r="E119" s="7"/>
      <c r="F119" s="7"/>
      <c r="G119" s="7"/>
      <c r="H119" s="7"/>
      <c r="V119" t="s">
        <v>104</v>
      </c>
      <c r="W119" s="21">
        <v>4717.24</v>
      </c>
      <c r="X119" s="7">
        <v>0.91620000000000001</v>
      </c>
      <c r="Y119" s="21"/>
    </row>
    <row r="120" spans="4:25" x14ac:dyDescent="0.3">
      <c r="D120" s="21"/>
      <c r="E120" s="7"/>
      <c r="F120" s="7"/>
      <c r="G120" s="7"/>
      <c r="H120" s="7"/>
      <c r="V120" t="s">
        <v>105</v>
      </c>
      <c r="W120" s="21">
        <v>3257.3</v>
      </c>
      <c r="X120" s="7">
        <v>0.9143</v>
      </c>
      <c r="Y120" s="21"/>
    </row>
    <row r="121" spans="4:25" x14ac:dyDescent="0.3">
      <c r="D121" s="21"/>
      <c r="E121" s="7"/>
      <c r="F121" s="7"/>
      <c r="G121" s="7"/>
      <c r="H121" s="7"/>
      <c r="V121" t="s">
        <v>106</v>
      </c>
      <c r="W121" s="21">
        <v>4605.03</v>
      </c>
      <c r="X121" s="7">
        <v>0.9214</v>
      </c>
      <c r="Y121" s="21"/>
    </row>
    <row r="122" spans="4:25" x14ac:dyDescent="0.3">
      <c r="D122" s="21"/>
      <c r="E122" s="7"/>
      <c r="F122" s="7"/>
      <c r="G122" s="7"/>
      <c r="H122" s="7"/>
      <c r="V122" t="s">
        <v>107</v>
      </c>
      <c r="W122" s="21">
        <v>4612.3900000000003</v>
      </c>
      <c r="X122" s="7">
        <v>0.92310000000000003</v>
      </c>
      <c r="Y122" s="21"/>
    </row>
    <row r="123" spans="4:25" x14ac:dyDescent="0.3">
      <c r="D123" s="21"/>
      <c r="E123" s="7"/>
      <c r="F123" s="7"/>
      <c r="G123" s="7"/>
      <c r="H123" s="7"/>
      <c r="V123" t="s">
        <v>108</v>
      </c>
      <c r="W123" s="21">
        <v>3086.92</v>
      </c>
      <c r="X123" s="7">
        <v>0.92759999999999998</v>
      </c>
      <c r="Y123" s="21"/>
    </row>
    <row r="124" spans="4:25" x14ac:dyDescent="0.3">
      <c r="D124" s="21"/>
      <c r="E124" s="7"/>
      <c r="F124" s="7"/>
      <c r="G124" s="7"/>
      <c r="H124" s="7"/>
      <c r="V124" t="s">
        <v>109</v>
      </c>
      <c r="W124" s="21">
        <v>4962.8500000000004</v>
      </c>
      <c r="X124" s="7">
        <v>0.45660000000000001</v>
      </c>
      <c r="Y124" s="21"/>
    </row>
    <row r="125" spans="4:25" x14ac:dyDescent="0.3">
      <c r="D125" s="21"/>
      <c r="E125" s="7"/>
      <c r="F125" s="7"/>
      <c r="G125" s="7"/>
      <c r="H125" s="7"/>
      <c r="V125" t="s">
        <v>110</v>
      </c>
      <c r="W125" s="21">
        <v>5090.3100000000004</v>
      </c>
      <c r="X125" s="7">
        <v>0.4496</v>
      </c>
      <c r="Y125" s="21"/>
    </row>
    <row r="126" spans="4:25" x14ac:dyDescent="0.3">
      <c r="D126" s="21"/>
      <c r="E126" s="7"/>
      <c r="F126" s="7"/>
      <c r="G126" s="7"/>
      <c r="H126" s="7"/>
      <c r="V126" t="s">
        <v>111</v>
      </c>
      <c r="W126" s="21">
        <v>3775.33</v>
      </c>
      <c r="X126" s="7">
        <v>0.44669999999999999</v>
      </c>
      <c r="Y126" s="21"/>
    </row>
    <row r="127" spans="4:25" x14ac:dyDescent="0.3">
      <c r="D127" s="21"/>
      <c r="E127" s="7"/>
      <c r="F127" s="7"/>
      <c r="G127" s="7"/>
      <c r="H127" s="7"/>
      <c r="V127" t="s">
        <v>112</v>
      </c>
      <c r="W127" s="21">
        <v>5036.29</v>
      </c>
      <c r="X127" s="7">
        <v>0.63959999999999995</v>
      </c>
      <c r="Y127" s="21"/>
    </row>
    <row r="128" spans="4:25" x14ac:dyDescent="0.3">
      <c r="D128" s="21"/>
      <c r="E128" s="7"/>
      <c r="F128" s="7"/>
      <c r="G128" s="7"/>
      <c r="H128" s="7"/>
      <c r="V128" t="s">
        <v>113</v>
      </c>
      <c r="W128" s="21">
        <v>5714.23</v>
      </c>
      <c r="X128" s="7">
        <v>0.64739999999999998</v>
      </c>
      <c r="Y128" s="21"/>
    </row>
    <row r="129" spans="4:25" x14ac:dyDescent="0.3">
      <c r="D129" s="21"/>
      <c r="E129" s="7"/>
      <c r="F129" s="7"/>
      <c r="G129" s="7"/>
      <c r="H129" s="7"/>
      <c r="V129" t="s">
        <v>114</v>
      </c>
      <c r="W129" s="21">
        <v>3798.89</v>
      </c>
      <c r="X129" s="7">
        <v>0.64290000000000003</v>
      </c>
      <c r="Y129" s="21"/>
    </row>
    <row r="130" spans="4:25" x14ac:dyDescent="0.3">
      <c r="D130" s="21"/>
      <c r="E130" s="7"/>
      <c r="F130" s="7"/>
      <c r="G130" s="7"/>
      <c r="H130" s="7"/>
      <c r="V130" t="s">
        <v>115</v>
      </c>
      <c r="W130" s="21">
        <v>5042.68</v>
      </c>
      <c r="X130" s="7">
        <v>0.75239999999999996</v>
      </c>
      <c r="Y130" s="21"/>
    </row>
    <row r="131" spans="4:25" x14ac:dyDescent="0.3">
      <c r="D131" s="21"/>
      <c r="E131" s="7"/>
      <c r="F131" s="7"/>
      <c r="G131" s="7"/>
      <c r="H131" s="7"/>
      <c r="V131" t="s">
        <v>116</v>
      </c>
      <c r="W131" s="21">
        <v>6214.71</v>
      </c>
      <c r="X131" s="7">
        <v>0.76339999999999997</v>
      </c>
      <c r="Y131" s="21"/>
    </row>
    <row r="132" spans="4:25" x14ac:dyDescent="0.3">
      <c r="D132" s="21"/>
      <c r="E132" s="7"/>
      <c r="F132" s="7"/>
      <c r="G132" s="7"/>
      <c r="H132" s="7"/>
      <c r="V132" t="s">
        <v>117</v>
      </c>
      <c r="W132" s="21">
        <v>3736.55</v>
      </c>
      <c r="X132" s="7">
        <v>0.75649999999999995</v>
      </c>
      <c r="Y132" s="21"/>
    </row>
    <row r="133" spans="4:25" x14ac:dyDescent="0.3">
      <c r="D133" s="21"/>
      <c r="E133" s="7"/>
      <c r="F133" s="7"/>
      <c r="G133" s="7"/>
      <c r="H133" s="7"/>
      <c r="V133" t="s">
        <v>118</v>
      </c>
      <c r="W133" s="21">
        <v>4949.8</v>
      </c>
      <c r="X133" s="7">
        <v>0.83560000000000001</v>
      </c>
      <c r="Y133" s="21"/>
    </row>
    <row r="134" spans="4:25" x14ac:dyDescent="0.3">
      <c r="D134" s="21"/>
      <c r="E134" s="7"/>
      <c r="F134" s="7"/>
      <c r="G134" s="7"/>
      <c r="H134" s="7"/>
      <c r="V134" t="s">
        <v>119</v>
      </c>
      <c r="W134" s="21">
        <v>6245.08</v>
      </c>
      <c r="X134" s="7">
        <v>0.83889999999999998</v>
      </c>
      <c r="Y134" s="21"/>
    </row>
    <row r="135" spans="4:25" x14ac:dyDescent="0.3">
      <c r="D135" s="21"/>
      <c r="E135" s="7"/>
      <c r="F135" s="7"/>
      <c r="G135" s="7"/>
      <c r="H135" s="7"/>
      <c r="V135" t="s">
        <v>120</v>
      </c>
      <c r="W135" s="21">
        <v>3758.75</v>
      </c>
      <c r="X135" s="7">
        <v>0.84030000000000005</v>
      </c>
      <c r="Y135" s="21"/>
    </row>
    <row r="136" spans="4:25" x14ac:dyDescent="0.3">
      <c r="D136" s="21"/>
      <c r="E136" s="7"/>
      <c r="F136" s="7"/>
      <c r="G136" s="7"/>
      <c r="H136" s="7"/>
      <c r="V136" t="s">
        <v>121</v>
      </c>
      <c r="W136" s="21">
        <v>5105.9399999999996</v>
      </c>
      <c r="X136" s="7">
        <v>0.89900000000000002</v>
      </c>
      <c r="Y136" s="21"/>
    </row>
    <row r="137" spans="4:25" x14ac:dyDescent="0.3">
      <c r="D137" s="21"/>
      <c r="E137" s="7"/>
      <c r="F137" s="7"/>
      <c r="G137" s="7"/>
      <c r="H137" s="7"/>
      <c r="V137" t="s">
        <v>122</v>
      </c>
      <c r="W137" s="21">
        <v>5973.76</v>
      </c>
      <c r="X137" s="7">
        <v>0.89900000000000002</v>
      </c>
      <c r="Y137" s="21"/>
    </row>
    <row r="138" spans="4:25" x14ac:dyDescent="0.3">
      <c r="D138" s="21"/>
      <c r="E138" s="7"/>
      <c r="F138" s="7"/>
      <c r="G138" s="7"/>
      <c r="H138" s="7"/>
      <c r="V138" t="s">
        <v>123</v>
      </c>
      <c r="W138" s="21">
        <v>3537.72</v>
      </c>
      <c r="X138" s="7">
        <v>0.89759999999999995</v>
      </c>
      <c r="Y138" s="21"/>
    </row>
    <row r="139" spans="4:25" x14ac:dyDescent="0.3">
      <c r="D139" s="21"/>
      <c r="E139" s="7"/>
      <c r="F139" s="7"/>
      <c r="G139" s="7"/>
      <c r="H139" s="7"/>
      <c r="V139" t="s">
        <v>124</v>
      </c>
      <c r="W139" s="21">
        <v>4903.1000000000004</v>
      </c>
      <c r="X139" s="7">
        <v>0.92120000000000002</v>
      </c>
      <c r="Y139" s="21"/>
    </row>
    <row r="140" spans="4:25" x14ac:dyDescent="0.3">
      <c r="D140" s="21"/>
      <c r="E140" s="7"/>
      <c r="F140" s="7"/>
      <c r="G140" s="7"/>
      <c r="H140" s="7"/>
      <c r="V140" t="s">
        <v>125</v>
      </c>
      <c r="W140" s="21">
        <v>5790.1</v>
      </c>
      <c r="X140" s="7">
        <v>0.91959999999999997</v>
      </c>
      <c r="Y140" s="21"/>
    </row>
    <row r="141" spans="4:25" x14ac:dyDescent="0.3">
      <c r="D141" s="21"/>
      <c r="E141" s="7"/>
      <c r="F141" s="7"/>
      <c r="G141" s="7"/>
      <c r="H141" s="7"/>
      <c r="V141" t="s">
        <v>126</v>
      </c>
      <c r="W141" s="21">
        <v>3511.12</v>
      </c>
      <c r="X141" s="7">
        <v>0.91969999999999996</v>
      </c>
      <c r="Y141" s="21"/>
    </row>
    <row r="142" spans="4:25" x14ac:dyDescent="0.3">
      <c r="D142" s="21"/>
      <c r="E142" s="7"/>
      <c r="F142" s="7"/>
      <c r="G142" s="7"/>
      <c r="H142" s="7"/>
      <c r="V142" t="s">
        <v>127</v>
      </c>
      <c r="W142" s="21">
        <v>4648.1899999999996</v>
      </c>
      <c r="X142" s="7">
        <v>0.94610000000000005</v>
      </c>
      <c r="Y142" s="21"/>
    </row>
    <row r="143" spans="4:25" x14ac:dyDescent="0.3">
      <c r="D143" s="21"/>
      <c r="E143" s="7"/>
      <c r="F143" s="7"/>
      <c r="G143" s="7"/>
      <c r="H143" s="7"/>
      <c r="V143" t="s">
        <v>128</v>
      </c>
      <c r="W143" s="21">
        <v>5142.47</v>
      </c>
      <c r="X143" s="7">
        <v>0.95469999999999999</v>
      </c>
      <c r="Y143" s="21"/>
    </row>
    <row r="144" spans="4:25" x14ac:dyDescent="0.3">
      <c r="D144" s="21"/>
      <c r="E144" s="7"/>
      <c r="F144" s="7"/>
      <c r="G144" s="7"/>
      <c r="H144" s="7"/>
      <c r="V144" t="s">
        <v>129</v>
      </c>
      <c r="W144" s="21">
        <v>3310.87</v>
      </c>
      <c r="X144" s="7">
        <v>0.94920000000000004</v>
      </c>
      <c r="Y144" s="21"/>
    </row>
    <row r="145" spans="4:25" x14ac:dyDescent="0.3">
      <c r="D145" s="21"/>
      <c r="E145" s="7"/>
      <c r="F145" s="7"/>
      <c r="G145" s="7"/>
      <c r="H145" s="7"/>
      <c r="V145" t="s">
        <v>130</v>
      </c>
      <c r="W145" s="21">
        <v>4637.99</v>
      </c>
      <c r="X145" s="7">
        <v>0.94159999999999999</v>
      </c>
      <c r="Y145" s="21"/>
    </row>
    <row r="146" spans="4:25" x14ac:dyDescent="0.3">
      <c r="D146" s="21"/>
      <c r="E146" s="7"/>
      <c r="F146" s="7"/>
      <c r="G146" s="7"/>
      <c r="H146" s="7"/>
      <c r="V146" t="s">
        <v>131</v>
      </c>
      <c r="W146" s="21">
        <v>5193.1000000000004</v>
      </c>
      <c r="X146" s="7">
        <v>0.94710000000000005</v>
      </c>
      <c r="Y146" s="21"/>
    </row>
    <row r="147" spans="4:25" x14ac:dyDescent="0.3">
      <c r="D147" s="21"/>
      <c r="E147" s="7"/>
      <c r="F147" s="7"/>
      <c r="G147" s="7"/>
      <c r="H147" s="7"/>
      <c r="V147" t="s">
        <v>132</v>
      </c>
      <c r="W147" s="21">
        <v>3346.4</v>
      </c>
      <c r="X147" s="7">
        <v>0.9446</v>
      </c>
      <c r="Y147" s="21"/>
    </row>
    <row r="148" spans="4:25" x14ac:dyDescent="0.3">
      <c r="D148" s="21"/>
      <c r="E148" s="7"/>
      <c r="F148" s="7"/>
      <c r="G148" s="7"/>
      <c r="H148" s="7"/>
      <c r="V148" t="s">
        <v>133</v>
      </c>
      <c r="W148" s="21">
        <v>4056.13</v>
      </c>
      <c r="X148" s="7">
        <v>0.70330000000000004</v>
      </c>
      <c r="Y148" s="21"/>
    </row>
    <row r="149" spans="4:25" x14ac:dyDescent="0.3">
      <c r="D149" s="21"/>
      <c r="E149" s="7"/>
      <c r="F149" s="7"/>
      <c r="G149" s="7"/>
      <c r="H149" s="7"/>
      <c r="V149" t="s">
        <v>134</v>
      </c>
      <c r="W149" s="21">
        <v>4967.25</v>
      </c>
      <c r="X149" s="7">
        <v>0.70899999999999996</v>
      </c>
      <c r="Y149" s="21"/>
    </row>
    <row r="150" spans="4:25" x14ac:dyDescent="0.3">
      <c r="D150" s="21"/>
      <c r="E150" s="7"/>
      <c r="F150" s="7"/>
      <c r="G150" s="7"/>
      <c r="H150" s="7"/>
      <c r="V150" t="s">
        <v>135</v>
      </c>
      <c r="W150" s="21">
        <v>2929.97</v>
      </c>
      <c r="X150" s="7">
        <v>0.70279999999999998</v>
      </c>
      <c r="Y150" s="21"/>
    </row>
    <row r="151" spans="4:25" x14ac:dyDescent="0.3">
      <c r="D151" s="21"/>
      <c r="E151" s="7"/>
      <c r="F151" s="7"/>
      <c r="G151" s="7"/>
      <c r="H151" s="7"/>
      <c r="V151" t="s">
        <v>136</v>
      </c>
      <c r="W151" s="21">
        <v>4087.91</v>
      </c>
      <c r="X151" s="7">
        <v>0.78669999999999995</v>
      </c>
      <c r="Y151" s="21"/>
    </row>
    <row r="152" spans="4:25" x14ac:dyDescent="0.3">
      <c r="D152" s="21"/>
      <c r="E152" s="7"/>
      <c r="F152" s="7"/>
      <c r="G152" s="7"/>
      <c r="H152" s="7"/>
      <c r="V152" t="s">
        <v>137</v>
      </c>
      <c r="W152" s="21">
        <v>5542.25</v>
      </c>
      <c r="X152" s="7">
        <v>0.79110000000000003</v>
      </c>
      <c r="Y152" s="21"/>
    </row>
    <row r="153" spans="4:25" x14ac:dyDescent="0.3">
      <c r="D153" s="21"/>
      <c r="E153" s="7"/>
      <c r="F153" s="7"/>
      <c r="G153" s="7"/>
      <c r="H153" s="7"/>
      <c r="V153" t="s">
        <v>138</v>
      </c>
      <c r="W153" s="21">
        <v>2961.09</v>
      </c>
      <c r="X153" s="7">
        <v>0.78200000000000003</v>
      </c>
      <c r="Y153" s="21"/>
    </row>
    <row r="154" spans="4:25" x14ac:dyDescent="0.3">
      <c r="D154" s="21"/>
      <c r="E154" s="7"/>
      <c r="F154" s="7"/>
      <c r="G154" s="7"/>
      <c r="H154" s="7"/>
      <c r="V154" t="s">
        <v>139</v>
      </c>
      <c r="W154" s="21">
        <v>4565.25</v>
      </c>
      <c r="X154" s="7">
        <v>0.86360000000000003</v>
      </c>
      <c r="Y154" s="21"/>
    </row>
    <row r="155" spans="4:25" x14ac:dyDescent="0.3">
      <c r="D155" s="21"/>
      <c r="E155" s="7"/>
      <c r="F155" s="7"/>
      <c r="G155" s="7"/>
      <c r="H155" s="7"/>
      <c r="V155" t="s">
        <v>140</v>
      </c>
      <c r="W155" s="21">
        <v>5545.11</v>
      </c>
      <c r="X155" s="7">
        <v>0.86550000000000005</v>
      </c>
      <c r="Y155" s="21"/>
    </row>
    <row r="156" spans="4:25" x14ac:dyDescent="0.3">
      <c r="D156" s="21"/>
      <c r="E156" s="7"/>
      <c r="F156" s="7"/>
      <c r="G156" s="7"/>
      <c r="H156" s="7"/>
      <c r="V156" t="s">
        <v>141</v>
      </c>
      <c r="W156" s="21">
        <v>3031.15</v>
      </c>
      <c r="X156" s="7">
        <v>0.86250000000000004</v>
      </c>
      <c r="Y156" s="21"/>
    </row>
    <row r="157" spans="4:25" x14ac:dyDescent="0.3">
      <c r="D157" s="21"/>
      <c r="E157" s="7"/>
      <c r="F157" s="7"/>
      <c r="G157" s="7"/>
      <c r="H157" s="7"/>
      <c r="V157" t="s">
        <v>142</v>
      </c>
      <c r="W157" s="21">
        <v>4362.67</v>
      </c>
      <c r="X157" s="7">
        <v>0.91710000000000003</v>
      </c>
      <c r="Y157" s="21"/>
    </row>
    <row r="158" spans="4:25" x14ac:dyDescent="0.3">
      <c r="D158" s="21"/>
      <c r="E158" s="7"/>
      <c r="F158" s="7"/>
      <c r="G158" s="7"/>
      <c r="H158" s="7"/>
      <c r="V158" t="s">
        <v>143</v>
      </c>
      <c r="W158" s="21">
        <v>5039.92</v>
      </c>
      <c r="X158" s="7">
        <v>0.92349999999999999</v>
      </c>
      <c r="Y158" s="21"/>
    </row>
    <row r="159" spans="4:25" x14ac:dyDescent="0.3">
      <c r="D159" s="21"/>
      <c r="E159" s="7"/>
      <c r="F159" s="7"/>
      <c r="G159" s="7"/>
      <c r="H159" s="7"/>
      <c r="V159" t="s">
        <v>144</v>
      </c>
      <c r="W159" s="21">
        <v>2952.75</v>
      </c>
      <c r="X159" s="7">
        <v>0.92159999999999997</v>
      </c>
      <c r="Y159" s="21"/>
    </row>
    <row r="160" spans="4:25" x14ac:dyDescent="0.3">
      <c r="D160" s="21"/>
      <c r="E160" s="7"/>
      <c r="F160" s="7"/>
      <c r="G160" s="7"/>
      <c r="H160" s="7"/>
      <c r="V160" t="s">
        <v>145</v>
      </c>
      <c r="W160" s="21">
        <v>4168.92</v>
      </c>
      <c r="X160" s="7">
        <v>0.95209999999999995</v>
      </c>
      <c r="Y160" s="21"/>
    </row>
    <row r="161" spans="4:25" x14ac:dyDescent="0.3">
      <c r="D161" s="21"/>
      <c r="E161" s="7"/>
      <c r="F161" s="7"/>
      <c r="G161" s="7"/>
      <c r="H161" s="7"/>
      <c r="V161" t="s">
        <v>146</v>
      </c>
      <c r="W161" s="21">
        <v>4364.9399999999996</v>
      </c>
      <c r="X161" s="7">
        <v>0.95150000000000001</v>
      </c>
      <c r="Y161" s="21"/>
    </row>
    <row r="162" spans="4:25" x14ac:dyDescent="0.3">
      <c r="D162" s="21"/>
      <c r="E162" s="7"/>
      <c r="F162" s="7"/>
      <c r="G162" s="7"/>
      <c r="H162" s="7"/>
      <c r="V162" t="s">
        <v>147</v>
      </c>
      <c r="W162" s="21">
        <v>2783.11</v>
      </c>
      <c r="X162" s="7">
        <v>0.95120000000000005</v>
      </c>
      <c r="Y162" s="21"/>
    </row>
    <row r="163" spans="4:25" x14ac:dyDescent="0.3">
      <c r="D163" s="21"/>
      <c r="E163" s="7"/>
      <c r="F163" s="7"/>
      <c r="G163" s="7"/>
      <c r="H163" s="7"/>
      <c r="V163" t="s">
        <v>148</v>
      </c>
      <c r="W163" s="21">
        <v>4185.6000000000004</v>
      </c>
      <c r="X163" s="7">
        <v>0.95789999999999997</v>
      </c>
      <c r="Y163" s="21"/>
    </row>
    <row r="164" spans="4:25" x14ac:dyDescent="0.3">
      <c r="D164" s="21"/>
      <c r="E164" s="7"/>
      <c r="F164" s="7"/>
      <c r="G164" s="7"/>
      <c r="H164" s="7"/>
      <c r="V164" t="s">
        <v>149</v>
      </c>
      <c r="W164" s="21">
        <v>4202</v>
      </c>
      <c r="X164" s="7">
        <v>0.9577</v>
      </c>
      <c r="Y164" s="21"/>
    </row>
    <row r="165" spans="4:25" x14ac:dyDescent="0.3">
      <c r="D165" s="21"/>
      <c r="E165" s="7"/>
      <c r="F165" s="7"/>
      <c r="G165" s="7"/>
      <c r="H165" s="7"/>
      <c r="V165" t="s">
        <v>150</v>
      </c>
      <c r="W165" s="21">
        <v>2714.46</v>
      </c>
      <c r="X165" s="7">
        <v>0.95469999999999999</v>
      </c>
      <c r="Y165" s="21"/>
    </row>
    <row r="166" spans="4:25" x14ac:dyDescent="0.3">
      <c r="D166" s="21"/>
      <c r="E166" s="7"/>
      <c r="F166" s="7"/>
      <c r="G166" s="7"/>
      <c r="H166" s="7"/>
      <c r="V166" t="s">
        <v>151</v>
      </c>
      <c r="W166" s="21">
        <v>4003.95</v>
      </c>
      <c r="X166" s="7">
        <v>0.97060000000000002</v>
      </c>
      <c r="Y166" s="21"/>
    </row>
    <row r="167" spans="4:25" x14ac:dyDescent="0.3">
      <c r="D167" s="21"/>
      <c r="E167" s="7"/>
      <c r="F167" s="7"/>
      <c r="G167" s="7"/>
      <c r="H167" s="7"/>
      <c r="V167" t="s">
        <v>152</v>
      </c>
      <c r="W167" s="21">
        <v>4032.26</v>
      </c>
      <c r="X167" s="7">
        <v>0.96589999999999998</v>
      </c>
      <c r="Y167" s="21"/>
    </row>
    <row r="168" spans="4:25" x14ac:dyDescent="0.3">
      <c r="D168" s="21"/>
      <c r="E168" s="7"/>
      <c r="F168" s="7"/>
      <c r="G168" s="7"/>
      <c r="H168" s="7"/>
      <c r="V168" t="s">
        <v>153</v>
      </c>
      <c r="W168" s="21">
        <v>2687.46</v>
      </c>
      <c r="X168" s="7">
        <v>0.96640000000000004</v>
      </c>
      <c r="Y168" s="21"/>
    </row>
    <row r="169" spans="4:25" x14ac:dyDescent="0.3">
      <c r="D169" s="21"/>
      <c r="E169" s="7"/>
      <c r="F169" s="7"/>
      <c r="G169" s="7"/>
      <c r="H169" s="7"/>
      <c r="V169" t="s">
        <v>154</v>
      </c>
      <c r="W169" s="21">
        <v>3939.38</v>
      </c>
      <c r="X169" s="7">
        <v>0.96440000000000003</v>
      </c>
      <c r="Y169" s="21"/>
    </row>
    <row r="170" spans="4:25" x14ac:dyDescent="0.3">
      <c r="D170" s="21"/>
      <c r="E170" s="7"/>
      <c r="F170" s="7"/>
      <c r="G170" s="7"/>
      <c r="H170" s="7"/>
      <c r="V170" t="s">
        <v>155</v>
      </c>
      <c r="W170" s="21">
        <v>4404.03</v>
      </c>
      <c r="X170" s="7">
        <v>0.96079999999999999</v>
      </c>
      <c r="Y170" s="21"/>
    </row>
    <row r="171" spans="4:25" x14ac:dyDescent="0.3">
      <c r="D171" s="21"/>
      <c r="E171" s="7"/>
      <c r="F171" s="7"/>
      <c r="G171" s="7"/>
      <c r="H171" s="7"/>
      <c r="V171" t="s">
        <v>156</v>
      </c>
      <c r="W171" s="21">
        <v>2656.13</v>
      </c>
      <c r="X171" s="7">
        <v>0.9637</v>
      </c>
      <c r="Y171" s="21"/>
    </row>
    <row r="172" spans="4:25" x14ac:dyDescent="0.3">
      <c r="D172" s="21"/>
      <c r="E172" s="7"/>
      <c r="F172" s="7"/>
      <c r="G172" s="7"/>
      <c r="H172" s="7"/>
      <c r="V172" t="s">
        <v>157</v>
      </c>
      <c r="W172" s="21">
        <v>7104.02</v>
      </c>
      <c r="X172" s="7">
        <v>3.9E-2</v>
      </c>
      <c r="Y172" s="21"/>
    </row>
    <row r="173" spans="4:25" x14ac:dyDescent="0.3">
      <c r="D173" s="21"/>
      <c r="E173" s="7"/>
      <c r="F173" s="7"/>
      <c r="G173" s="7"/>
      <c r="H173" s="7"/>
      <c r="V173" t="s">
        <v>158</v>
      </c>
      <c r="W173" s="21">
        <v>5538.72</v>
      </c>
      <c r="X173" s="7">
        <v>3.7400000000000003E-2</v>
      </c>
      <c r="Y173" s="21"/>
    </row>
    <row r="174" spans="4:25" x14ac:dyDescent="0.3">
      <c r="D174" s="21"/>
      <c r="E174" s="7"/>
      <c r="F174" s="7"/>
      <c r="G174" s="7"/>
      <c r="H174" s="7"/>
      <c r="V174" t="s">
        <v>159</v>
      </c>
      <c r="W174" s="21">
        <v>4765.78</v>
      </c>
      <c r="X174" s="7">
        <v>3.5799999999999998E-2</v>
      </c>
      <c r="Y174" s="21"/>
    </row>
    <row r="175" spans="4:25" x14ac:dyDescent="0.3">
      <c r="D175" s="21"/>
      <c r="E175" s="7"/>
      <c r="F175" s="7"/>
      <c r="G175" s="7"/>
      <c r="H175" s="7"/>
      <c r="V175" t="s">
        <v>160</v>
      </c>
      <c r="W175" s="21">
        <v>4077.64</v>
      </c>
      <c r="X175" s="7">
        <v>0.45019999999999999</v>
      </c>
      <c r="Y175" s="21"/>
    </row>
    <row r="176" spans="4:25" x14ac:dyDescent="0.3">
      <c r="D176" s="21"/>
      <c r="E176" s="7"/>
      <c r="F176" s="7"/>
      <c r="G176" s="7"/>
      <c r="H176" s="7"/>
      <c r="V176" t="s">
        <v>161</v>
      </c>
      <c r="W176" s="21">
        <v>7141.67</v>
      </c>
      <c r="X176" s="7">
        <v>0.4617</v>
      </c>
      <c r="Y176" s="21"/>
    </row>
    <row r="177" spans="4:25" x14ac:dyDescent="0.3">
      <c r="D177" s="21"/>
      <c r="E177" s="7"/>
      <c r="F177" s="7"/>
      <c r="G177" s="7"/>
      <c r="H177" s="7"/>
      <c r="V177" t="s">
        <v>162</v>
      </c>
      <c r="W177" s="21">
        <v>2738.26</v>
      </c>
      <c r="X177" s="7">
        <v>0.4577</v>
      </c>
      <c r="Y177" s="21"/>
    </row>
    <row r="178" spans="4:25" x14ac:dyDescent="0.3">
      <c r="D178" s="21"/>
      <c r="E178" s="7"/>
      <c r="F178" s="7"/>
      <c r="G178" s="7"/>
      <c r="H178" s="7"/>
      <c r="V178" t="s">
        <v>163</v>
      </c>
      <c r="W178" s="21">
        <v>5021.47</v>
      </c>
      <c r="X178" s="7">
        <v>0.76280000000000003</v>
      </c>
      <c r="Y178" s="21"/>
    </row>
    <row r="179" spans="4:25" x14ac:dyDescent="0.3">
      <c r="D179" s="21"/>
      <c r="E179" s="7"/>
      <c r="F179" s="7"/>
      <c r="G179" s="7"/>
      <c r="H179" s="7"/>
      <c r="V179" t="s">
        <v>164</v>
      </c>
      <c r="W179" s="21">
        <v>8211.0300000000007</v>
      </c>
      <c r="X179" s="7">
        <v>0.76119999999999999</v>
      </c>
      <c r="Y179" s="21"/>
    </row>
    <row r="180" spans="4:25" x14ac:dyDescent="0.3">
      <c r="D180" s="21"/>
      <c r="E180" s="7"/>
      <c r="F180" s="7"/>
      <c r="G180" s="7"/>
      <c r="H180" s="7"/>
      <c r="V180" t="s">
        <v>165</v>
      </c>
      <c r="W180" s="21">
        <v>3245.75</v>
      </c>
      <c r="X180" s="7">
        <v>0.76490000000000002</v>
      </c>
      <c r="Y180" s="21"/>
    </row>
    <row r="181" spans="4:25" x14ac:dyDescent="0.3">
      <c r="D181" s="21"/>
      <c r="E181" s="7"/>
      <c r="F181" s="7"/>
      <c r="G181" s="7"/>
      <c r="H181" s="7"/>
      <c r="V181" t="s">
        <v>166</v>
      </c>
      <c r="W181" s="21">
        <v>5583.37</v>
      </c>
      <c r="X181" s="7">
        <v>0.8024</v>
      </c>
      <c r="Y181" s="21"/>
    </row>
    <row r="182" spans="4:25" x14ac:dyDescent="0.3">
      <c r="D182" s="21"/>
      <c r="E182" s="7"/>
      <c r="F182" s="7"/>
      <c r="G182" s="7"/>
      <c r="H182" s="7"/>
      <c r="V182" t="s">
        <v>167</v>
      </c>
      <c r="W182" s="21">
        <v>7435.96</v>
      </c>
      <c r="X182" s="7">
        <v>0.79969999999999997</v>
      </c>
      <c r="Y182" s="21"/>
    </row>
    <row r="183" spans="4:25" x14ac:dyDescent="0.3">
      <c r="D183" s="21"/>
      <c r="E183" s="7"/>
      <c r="F183" s="7"/>
      <c r="G183" s="7"/>
      <c r="H183" s="7"/>
      <c r="V183" t="s">
        <v>168</v>
      </c>
      <c r="W183" s="21">
        <v>3411.83</v>
      </c>
      <c r="X183" s="7">
        <v>0.80020000000000002</v>
      </c>
      <c r="Y183" s="21"/>
    </row>
    <row r="184" spans="4:25" x14ac:dyDescent="0.3">
      <c r="D184" s="21"/>
      <c r="E184" s="7"/>
      <c r="F184" s="7"/>
      <c r="G184" s="7"/>
      <c r="H184" s="7"/>
      <c r="V184" t="s">
        <v>169</v>
      </c>
      <c r="W184" s="21">
        <v>5575.27</v>
      </c>
      <c r="X184" s="7">
        <v>0.85089999999999999</v>
      </c>
      <c r="Y184" s="21"/>
    </row>
    <row r="185" spans="4:25" x14ac:dyDescent="0.3">
      <c r="D185" s="21"/>
      <c r="E185" s="7"/>
      <c r="F185" s="7"/>
      <c r="G185" s="7"/>
      <c r="H185" s="7"/>
      <c r="V185" t="s">
        <v>170</v>
      </c>
      <c r="W185" s="21">
        <v>6717.85</v>
      </c>
      <c r="X185" s="7">
        <v>0.85840000000000005</v>
      </c>
      <c r="Y185" s="21"/>
    </row>
    <row r="186" spans="4:25" x14ac:dyDescent="0.3">
      <c r="D186" s="21"/>
      <c r="E186" s="7"/>
      <c r="F186" s="7"/>
      <c r="G186" s="7"/>
      <c r="H186" s="7"/>
      <c r="V186" t="s">
        <v>171</v>
      </c>
      <c r="W186" s="21">
        <v>3425.62</v>
      </c>
      <c r="X186" s="7">
        <v>0.85709999999999997</v>
      </c>
      <c r="Y186" s="21"/>
    </row>
    <row r="187" spans="4:25" x14ac:dyDescent="0.3">
      <c r="D187" s="21"/>
      <c r="E187" s="7"/>
      <c r="F187" s="7"/>
      <c r="G187" s="7"/>
      <c r="H187" s="7"/>
      <c r="V187" t="s">
        <v>172</v>
      </c>
      <c r="W187" s="21">
        <v>5189.08</v>
      </c>
      <c r="X187" s="7">
        <v>0.86629999999999996</v>
      </c>
      <c r="Y187" s="21"/>
    </row>
    <row r="188" spans="4:25" x14ac:dyDescent="0.3">
      <c r="D188" s="21"/>
      <c r="E188" s="7"/>
      <c r="F188" s="7"/>
      <c r="G188" s="7"/>
      <c r="H188" s="7"/>
      <c r="V188" t="s">
        <v>173</v>
      </c>
      <c r="W188" s="21">
        <v>5835.37</v>
      </c>
      <c r="X188" s="7">
        <v>0.86970000000000003</v>
      </c>
      <c r="Y188" s="21"/>
    </row>
    <row r="189" spans="4:25" x14ac:dyDescent="0.3">
      <c r="V189" t="s">
        <v>174</v>
      </c>
      <c r="W189" s="21">
        <v>3137.28</v>
      </c>
      <c r="X189" s="7">
        <v>0.87070000000000003</v>
      </c>
      <c r="Y189" s="21"/>
    </row>
    <row r="190" spans="4:25" x14ac:dyDescent="0.3">
      <c r="V190" t="s">
        <v>175</v>
      </c>
      <c r="W190" s="21">
        <v>5014.0600000000004</v>
      </c>
      <c r="X190" s="7">
        <v>0.872</v>
      </c>
      <c r="Y190" s="21"/>
    </row>
    <row r="191" spans="4:25" x14ac:dyDescent="0.3">
      <c r="V191" t="s">
        <v>176</v>
      </c>
      <c r="W191" s="21">
        <v>5401.58</v>
      </c>
      <c r="X191" s="7">
        <v>0.88139999999999996</v>
      </c>
      <c r="Y191" s="21"/>
    </row>
    <row r="192" spans="4:25" x14ac:dyDescent="0.3">
      <c r="V192" t="s">
        <v>177</v>
      </c>
      <c r="W192" s="21">
        <v>2944.78</v>
      </c>
      <c r="X192" s="7">
        <v>0.88039999999999996</v>
      </c>
      <c r="Y192" s="21"/>
    </row>
    <row r="193" spans="9:25" x14ac:dyDescent="0.3">
      <c r="V193" t="s">
        <v>178</v>
      </c>
      <c r="W193" s="21">
        <v>4476.1499999999996</v>
      </c>
      <c r="X193" s="7">
        <v>0.88900000000000001</v>
      </c>
      <c r="Y193" s="21"/>
    </row>
    <row r="194" spans="9:25" x14ac:dyDescent="0.3">
      <c r="V194" t="s">
        <v>179</v>
      </c>
      <c r="W194" s="21">
        <v>4788.1899999999996</v>
      </c>
      <c r="X194" s="7">
        <v>0.89829999999999999</v>
      </c>
      <c r="Y194" s="21"/>
    </row>
    <row r="195" spans="9:25" x14ac:dyDescent="0.3">
      <c r="V195" t="s">
        <v>180</v>
      </c>
      <c r="W195" s="21">
        <v>2802.35</v>
      </c>
      <c r="X195" s="7">
        <v>0.90549999999999997</v>
      </c>
      <c r="Y195" s="21"/>
    </row>
    <row r="196" spans="9:25" x14ac:dyDescent="0.3">
      <c r="I196" s="21"/>
      <c r="J196" s="7"/>
      <c r="V196" t="s">
        <v>181</v>
      </c>
      <c r="W196" s="21">
        <v>4382.49</v>
      </c>
      <c r="X196" s="7">
        <v>0.28649999999999998</v>
      </c>
      <c r="Y196" s="21"/>
    </row>
    <row r="197" spans="9:25" x14ac:dyDescent="0.3">
      <c r="I197" s="21"/>
      <c r="J197" s="7"/>
      <c r="V197" t="s">
        <v>182</v>
      </c>
      <c r="W197" s="21">
        <v>7548.07</v>
      </c>
      <c r="X197" s="7">
        <v>0.2903</v>
      </c>
      <c r="Y197" s="21"/>
    </row>
    <row r="198" spans="9:25" x14ac:dyDescent="0.3">
      <c r="I198" s="21"/>
      <c r="J198" s="7"/>
      <c r="V198" t="s">
        <v>183</v>
      </c>
      <c r="W198" s="21">
        <v>3131.91</v>
      </c>
      <c r="X198" s="7">
        <v>0.28510000000000002</v>
      </c>
      <c r="Y198" s="21"/>
    </row>
    <row r="199" spans="9:25" x14ac:dyDescent="0.3">
      <c r="V199" t="s">
        <v>184</v>
      </c>
      <c r="W199" s="21">
        <v>5548.58</v>
      </c>
      <c r="X199" s="7">
        <v>0.60909999999999997</v>
      </c>
      <c r="Y199" s="21"/>
    </row>
    <row r="200" spans="9:25" x14ac:dyDescent="0.3">
      <c r="M200" s="21"/>
      <c r="V200" t="s">
        <v>185</v>
      </c>
      <c r="W200" s="21">
        <v>8965.42</v>
      </c>
      <c r="X200" s="7">
        <v>0.60509999999999997</v>
      </c>
      <c r="Y200" s="21"/>
    </row>
    <row r="201" spans="9:25" x14ac:dyDescent="0.3">
      <c r="M201" s="21"/>
      <c r="V201" t="s">
        <v>186</v>
      </c>
      <c r="W201" s="21">
        <v>3657.27</v>
      </c>
      <c r="X201" s="7">
        <v>0.62380000000000002</v>
      </c>
      <c r="Y201" s="21"/>
    </row>
    <row r="202" spans="9:25" x14ac:dyDescent="0.3">
      <c r="M202" s="21"/>
      <c r="V202" t="s">
        <v>187</v>
      </c>
      <c r="W202" s="21">
        <v>5587.06</v>
      </c>
      <c r="X202" s="7">
        <v>0.74429999999999996</v>
      </c>
      <c r="Y202" s="21"/>
    </row>
    <row r="203" spans="9:25" x14ac:dyDescent="0.3">
      <c r="M203" s="21"/>
      <c r="V203" t="s">
        <v>188</v>
      </c>
      <c r="W203" s="21">
        <v>6628.34</v>
      </c>
      <c r="X203" s="7">
        <v>0.74490000000000001</v>
      </c>
      <c r="Y203" s="21"/>
    </row>
    <row r="204" spans="9:25" x14ac:dyDescent="0.3">
      <c r="M204" s="21"/>
      <c r="V204" t="s">
        <v>189</v>
      </c>
      <c r="W204" s="21">
        <v>3441.45</v>
      </c>
      <c r="X204" s="7">
        <v>0.74970000000000003</v>
      </c>
      <c r="Y204" s="21"/>
    </row>
    <row r="205" spans="9:25" x14ac:dyDescent="0.3">
      <c r="M205" s="21"/>
      <c r="V205" t="s">
        <v>190</v>
      </c>
      <c r="W205" s="21">
        <v>4322.42</v>
      </c>
      <c r="X205" s="7">
        <v>0.91300000000000003</v>
      </c>
      <c r="Y205" s="21"/>
    </row>
    <row r="206" spans="9:25" x14ac:dyDescent="0.3">
      <c r="M206" s="21"/>
      <c r="V206" t="s">
        <v>191</v>
      </c>
      <c r="W206" s="21">
        <v>5012.4399999999996</v>
      </c>
      <c r="X206" s="7">
        <v>0.92449999999999999</v>
      </c>
      <c r="Y206" s="21"/>
    </row>
    <row r="207" spans="9:25" x14ac:dyDescent="0.3">
      <c r="M207" s="21"/>
      <c r="V207" t="s">
        <v>192</v>
      </c>
      <c r="W207" s="21">
        <v>2861.25</v>
      </c>
      <c r="X207" s="7">
        <v>0.90769999999999995</v>
      </c>
      <c r="Y207" s="21"/>
    </row>
    <row r="208" spans="9:25" x14ac:dyDescent="0.3">
      <c r="M208" s="21"/>
      <c r="V208" t="s">
        <v>193</v>
      </c>
      <c r="W208" s="21">
        <v>3983.8</v>
      </c>
      <c r="X208" s="7">
        <v>0.93859999999999999</v>
      </c>
      <c r="Y208" s="21"/>
    </row>
    <row r="209" spans="13:25" x14ac:dyDescent="0.3">
      <c r="M209" s="21"/>
      <c r="V209" t="s">
        <v>194</v>
      </c>
      <c r="W209" s="21">
        <v>4563.3100000000004</v>
      </c>
      <c r="X209" s="7">
        <v>0.94230000000000003</v>
      </c>
      <c r="Y209" s="21"/>
    </row>
    <row r="210" spans="13:25" x14ac:dyDescent="0.3">
      <c r="M210" s="21"/>
      <c r="V210" t="s">
        <v>195</v>
      </c>
      <c r="W210" s="21">
        <v>2753.38</v>
      </c>
      <c r="X210" s="7">
        <v>0.93740000000000001</v>
      </c>
      <c r="Y210" s="21"/>
    </row>
    <row r="211" spans="13:25" x14ac:dyDescent="0.3">
      <c r="M211" s="21"/>
      <c r="V211" t="s">
        <v>196</v>
      </c>
      <c r="W211" s="21">
        <v>3785.05</v>
      </c>
      <c r="X211" s="7">
        <v>0.95630000000000004</v>
      </c>
      <c r="Y211" s="21"/>
    </row>
    <row r="212" spans="13:25" x14ac:dyDescent="0.3">
      <c r="M212" s="21"/>
      <c r="V212" t="s">
        <v>197</v>
      </c>
      <c r="W212" s="21">
        <v>4211.37</v>
      </c>
      <c r="X212" s="7">
        <v>0.94979999999999998</v>
      </c>
      <c r="Y212" s="21"/>
    </row>
    <row r="213" spans="13:25" x14ac:dyDescent="0.3">
      <c r="M213" s="21"/>
      <c r="V213" t="s">
        <v>198</v>
      </c>
      <c r="W213" s="21">
        <v>2624.19</v>
      </c>
      <c r="X213" s="7">
        <v>0.95340000000000003</v>
      </c>
      <c r="Y213" s="21"/>
    </row>
    <row r="214" spans="13:25" x14ac:dyDescent="0.3">
      <c r="M214" s="21"/>
      <c r="V214" t="s">
        <v>199</v>
      </c>
      <c r="W214" s="21">
        <v>3659.12</v>
      </c>
      <c r="X214" s="7">
        <v>0.96799999999999997</v>
      </c>
      <c r="Y214" s="21"/>
    </row>
    <row r="215" spans="13:25" x14ac:dyDescent="0.3">
      <c r="M215" s="21"/>
      <c r="V215" t="s">
        <v>200</v>
      </c>
      <c r="W215" s="21">
        <v>4386.03</v>
      </c>
      <c r="X215" s="7">
        <v>0.96860000000000002</v>
      </c>
      <c r="Y215" s="21"/>
    </row>
    <row r="216" spans="13:25" x14ac:dyDescent="0.3">
      <c r="M216" s="21"/>
      <c r="V216" t="s">
        <v>201</v>
      </c>
      <c r="W216" s="21">
        <v>2538.5100000000002</v>
      </c>
      <c r="X216" s="7">
        <v>0.96189999999999998</v>
      </c>
      <c r="Y216" s="21"/>
    </row>
    <row r="217" spans="13:25" x14ac:dyDescent="0.3">
      <c r="M217" s="21"/>
      <c r="V217" t="s">
        <v>202</v>
      </c>
      <c r="W217" s="21">
        <v>3565.75</v>
      </c>
      <c r="X217" s="7">
        <v>0.97170000000000001</v>
      </c>
      <c r="Y217" s="21"/>
    </row>
    <row r="218" spans="13:25" x14ac:dyDescent="0.3">
      <c r="M218" s="21"/>
      <c r="U218" s="4"/>
      <c r="V218" s="7" t="s">
        <v>203</v>
      </c>
      <c r="W218" s="21">
        <v>4229.37</v>
      </c>
      <c r="X218" s="7">
        <v>0.97360000000000002</v>
      </c>
      <c r="Y218" s="21"/>
    </row>
    <row r="219" spans="13:25" x14ac:dyDescent="0.3">
      <c r="M219" s="21"/>
      <c r="U219" s="4"/>
      <c r="V219" s="7" t="s">
        <v>204</v>
      </c>
      <c r="W219" s="21">
        <v>2488.85</v>
      </c>
      <c r="X219" s="7">
        <v>0.96699999999999997</v>
      </c>
      <c r="Y219" s="21"/>
    </row>
    <row r="220" spans="13:25" x14ac:dyDescent="0.3">
      <c r="M220" s="21"/>
      <c r="U220" s="4"/>
      <c r="V220" s="7" t="s">
        <v>205</v>
      </c>
      <c r="W220" s="21">
        <v>4879.03</v>
      </c>
      <c r="X220" s="7">
        <v>0.13769999999999999</v>
      </c>
      <c r="Y220" s="21"/>
    </row>
    <row r="221" spans="13:25" x14ac:dyDescent="0.3">
      <c r="M221" s="21"/>
      <c r="U221" s="4"/>
      <c r="V221" s="7" t="s">
        <v>206</v>
      </c>
      <c r="W221" s="21">
        <v>5204.72</v>
      </c>
      <c r="X221" s="7">
        <v>0.12909999999999999</v>
      </c>
      <c r="Y221" s="21"/>
    </row>
    <row r="222" spans="13:25" x14ac:dyDescent="0.3">
      <c r="M222" s="21"/>
      <c r="U222" s="4"/>
      <c r="V222" s="7" t="s">
        <v>207</v>
      </c>
      <c r="W222" s="21">
        <v>3697.39</v>
      </c>
      <c r="X222" s="7">
        <v>0.12659999999999999</v>
      </c>
      <c r="Y222" s="21"/>
    </row>
    <row r="223" spans="13:25" x14ac:dyDescent="0.3">
      <c r="M223" s="21"/>
      <c r="U223" s="4"/>
      <c r="V223" s="7" t="s">
        <v>208</v>
      </c>
      <c r="W223" s="21">
        <v>4510.83</v>
      </c>
      <c r="X223" s="7">
        <v>0.59060000000000001</v>
      </c>
      <c r="Y223" s="21"/>
    </row>
    <row r="224" spans="13:25" x14ac:dyDescent="0.3">
      <c r="M224" s="21"/>
      <c r="U224" s="4"/>
      <c r="V224" s="7" t="s">
        <v>209</v>
      </c>
      <c r="W224" s="21">
        <v>6730.69</v>
      </c>
      <c r="X224" s="7">
        <v>0.58589999999999998</v>
      </c>
      <c r="Y224" s="21"/>
    </row>
    <row r="225" spans="13:25" x14ac:dyDescent="0.3">
      <c r="M225" s="21"/>
      <c r="U225" s="4"/>
      <c r="V225" s="7" t="s">
        <v>210</v>
      </c>
      <c r="W225" s="21">
        <v>2978.36</v>
      </c>
      <c r="X225" s="7">
        <v>0.58579999999999999</v>
      </c>
      <c r="Y225" s="21"/>
    </row>
    <row r="226" spans="13:25" x14ac:dyDescent="0.3">
      <c r="M226" s="21"/>
      <c r="U226" s="4"/>
      <c r="V226" s="7" t="s">
        <v>211</v>
      </c>
      <c r="W226" s="21">
        <v>4765.41</v>
      </c>
      <c r="X226" s="7">
        <v>0.76829999999999998</v>
      </c>
      <c r="Y226" s="21"/>
    </row>
    <row r="227" spans="13:25" x14ac:dyDescent="0.3">
      <c r="M227" s="21"/>
      <c r="U227" s="4"/>
      <c r="V227" s="7" t="s">
        <v>212</v>
      </c>
      <c r="W227" s="21">
        <v>7106.99</v>
      </c>
      <c r="X227" s="7">
        <v>0.76759999999999995</v>
      </c>
      <c r="Y227" s="21"/>
    </row>
    <row r="228" spans="13:25" x14ac:dyDescent="0.3">
      <c r="M228" s="21"/>
      <c r="U228" s="4"/>
      <c r="V228" s="7" t="s">
        <v>213</v>
      </c>
      <c r="W228" s="21">
        <v>3142.66</v>
      </c>
      <c r="X228" s="7">
        <v>0.75949999999999995</v>
      </c>
      <c r="Y228" s="21"/>
    </row>
    <row r="229" spans="13:25" x14ac:dyDescent="0.3">
      <c r="M229" s="21"/>
      <c r="U229" s="4"/>
      <c r="V229" s="7" t="s">
        <v>214</v>
      </c>
      <c r="W229" s="21">
        <v>4794.28</v>
      </c>
      <c r="X229" s="7">
        <v>0.83630000000000004</v>
      </c>
      <c r="Y229" s="21"/>
    </row>
    <row r="230" spans="13:25" x14ac:dyDescent="0.3">
      <c r="M230" s="21"/>
      <c r="U230" s="4"/>
      <c r="V230" s="7" t="s">
        <v>215</v>
      </c>
      <c r="W230" s="21">
        <v>6854.69</v>
      </c>
      <c r="X230" s="7">
        <v>0.83440000000000003</v>
      </c>
      <c r="Y230" s="21"/>
    </row>
    <row r="231" spans="13:25" x14ac:dyDescent="0.3">
      <c r="M231" s="21"/>
      <c r="U231" s="4"/>
      <c r="V231" s="7" t="s">
        <v>216</v>
      </c>
      <c r="W231" s="21">
        <v>3046.64</v>
      </c>
      <c r="X231" s="7">
        <v>0.81850000000000001</v>
      </c>
      <c r="Y231" s="21"/>
    </row>
    <row r="232" spans="13:25" x14ac:dyDescent="0.3">
      <c r="M232" s="21"/>
      <c r="U232" s="4"/>
      <c r="V232" s="7" t="s">
        <v>217</v>
      </c>
      <c r="W232" s="21">
        <v>4830.5200000000004</v>
      </c>
      <c r="X232" s="7">
        <v>0.86929999999999996</v>
      </c>
      <c r="Y232" s="21"/>
    </row>
    <row r="233" spans="13:25" x14ac:dyDescent="0.3">
      <c r="M233" s="21"/>
      <c r="U233" s="4"/>
      <c r="V233" s="7" t="s">
        <v>218</v>
      </c>
      <c r="W233" s="21">
        <v>6153.41</v>
      </c>
      <c r="X233" s="7">
        <v>0.87209999999999999</v>
      </c>
      <c r="Y233" s="21"/>
    </row>
    <row r="234" spans="13:25" x14ac:dyDescent="0.3">
      <c r="M234" s="21"/>
      <c r="U234" s="4"/>
      <c r="V234" s="7" t="s">
        <v>219</v>
      </c>
      <c r="W234" s="21">
        <v>2943.84</v>
      </c>
      <c r="X234" s="7">
        <v>0.86599999999999999</v>
      </c>
      <c r="Y234" s="21"/>
    </row>
    <row r="235" spans="13:25" x14ac:dyDescent="0.3">
      <c r="M235" s="21"/>
      <c r="U235" s="4"/>
      <c r="V235" s="7" t="s">
        <v>220</v>
      </c>
      <c r="W235" s="21">
        <v>4768.05</v>
      </c>
      <c r="X235" s="7">
        <v>0.86270000000000002</v>
      </c>
      <c r="Y235" s="21"/>
    </row>
    <row r="236" spans="13:25" x14ac:dyDescent="0.3">
      <c r="M236" s="21"/>
      <c r="U236" s="4"/>
      <c r="V236" s="7" t="s">
        <v>221</v>
      </c>
      <c r="W236" s="21">
        <v>6438.37</v>
      </c>
      <c r="X236" s="7">
        <v>0.85470000000000002</v>
      </c>
      <c r="Y236" s="21"/>
    </row>
    <row r="237" spans="13:25" x14ac:dyDescent="0.3">
      <c r="M237" s="21"/>
      <c r="U237" s="4"/>
      <c r="V237" s="7" t="s">
        <v>222</v>
      </c>
      <c r="W237" s="21">
        <v>2937</v>
      </c>
      <c r="X237" s="7">
        <v>0.86</v>
      </c>
      <c r="Y237" s="21"/>
    </row>
    <row r="238" spans="13:25" x14ac:dyDescent="0.3">
      <c r="M238" s="21"/>
      <c r="U238" s="4"/>
      <c r="V238" s="7" t="s">
        <v>223</v>
      </c>
      <c r="W238" s="21">
        <v>4680.78</v>
      </c>
      <c r="X238" s="7">
        <v>0.88139999999999996</v>
      </c>
      <c r="Y238" s="21"/>
    </row>
    <row r="239" spans="13:25" x14ac:dyDescent="0.3">
      <c r="M239" s="21"/>
      <c r="U239" s="4"/>
      <c r="V239" s="7" t="s">
        <v>224</v>
      </c>
      <c r="W239" s="21">
        <v>6048.41</v>
      </c>
      <c r="X239" s="7">
        <v>0.88149999999999995</v>
      </c>
      <c r="Y239" s="21"/>
    </row>
    <row r="240" spans="13:25" x14ac:dyDescent="0.3">
      <c r="M240" s="21"/>
      <c r="U240" s="4"/>
      <c r="V240" s="7" t="s">
        <v>225</v>
      </c>
      <c r="W240" s="21">
        <v>2932.08</v>
      </c>
      <c r="X240" s="7">
        <v>0.87719999999999998</v>
      </c>
      <c r="Y240" s="21"/>
    </row>
    <row r="241" spans="13:25" x14ac:dyDescent="0.3">
      <c r="M241" s="21"/>
      <c r="U241" s="4"/>
      <c r="V241" s="7" t="s">
        <v>226</v>
      </c>
      <c r="W241" s="21">
        <v>4724.62</v>
      </c>
      <c r="X241" s="7">
        <v>0.88249999999999995</v>
      </c>
      <c r="Y241" s="21"/>
    </row>
    <row r="242" spans="13:25" x14ac:dyDescent="0.3">
      <c r="M242" s="21"/>
      <c r="U242" s="4"/>
      <c r="V242" s="7" t="s">
        <v>227</v>
      </c>
      <c r="W242" s="21">
        <v>5219.74</v>
      </c>
      <c r="X242" s="7">
        <v>0.89300000000000002</v>
      </c>
      <c r="Y242" s="21"/>
    </row>
    <row r="243" spans="13:25" x14ac:dyDescent="0.3">
      <c r="M243" s="21"/>
      <c r="U243" s="4"/>
      <c r="V243" s="7" t="s">
        <v>228</v>
      </c>
      <c r="W243" s="21">
        <v>3005.91</v>
      </c>
      <c r="X243" s="7">
        <v>0.88270000000000004</v>
      </c>
      <c r="Y243" s="21"/>
    </row>
    <row r="244" spans="13:25" x14ac:dyDescent="0.3">
      <c r="M244" s="21"/>
      <c r="U244" s="4"/>
      <c r="V244" s="7" t="s">
        <v>229</v>
      </c>
      <c r="W244" s="21">
        <v>3993.5</v>
      </c>
      <c r="X244" s="7">
        <v>0.97430000000000005</v>
      </c>
      <c r="Y244" s="21"/>
    </row>
    <row r="245" spans="13:25" x14ac:dyDescent="0.3">
      <c r="M245" s="21"/>
      <c r="U245" s="4"/>
      <c r="V245" s="7" t="s">
        <v>230</v>
      </c>
      <c r="W245" s="21">
        <v>4883.5600000000004</v>
      </c>
      <c r="X245" s="7">
        <v>0.96879999999999999</v>
      </c>
      <c r="Y245" s="21"/>
    </row>
    <row r="246" spans="13:25" x14ac:dyDescent="0.3">
      <c r="M246" s="21"/>
      <c r="U246" s="4"/>
      <c r="V246" s="7" t="s">
        <v>231</v>
      </c>
      <c r="W246" s="21">
        <v>2899.98</v>
      </c>
      <c r="X246" s="7">
        <v>0.96689999999999998</v>
      </c>
      <c r="Y246" s="21"/>
    </row>
    <row r="247" spans="13:25" x14ac:dyDescent="0.3">
      <c r="M247" s="21"/>
      <c r="U247" s="4"/>
      <c r="V247" s="7" t="s">
        <v>232</v>
      </c>
      <c r="W247" s="21">
        <v>3944.33</v>
      </c>
      <c r="X247" s="7">
        <v>0.96530000000000005</v>
      </c>
      <c r="Y247" s="21"/>
    </row>
    <row r="248" spans="13:25" x14ac:dyDescent="0.3">
      <c r="M248" s="21"/>
      <c r="U248" s="4"/>
      <c r="V248" s="7" t="s">
        <v>233</v>
      </c>
      <c r="W248" s="21">
        <v>3957.62</v>
      </c>
      <c r="X248" s="7">
        <v>0.9617</v>
      </c>
      <c r="Y248" s="21"/>
    </row>
    <row r="249" spans="13:25" x14ac:dyDescent="0.3">
      <c r="M249" s="21"/>
      <c r="U249" s="4"/>
      <c r="V249" s="7" t="s">
        <v>234</v>
      </c>
      <c r="W249" s="21">
        <v>2815.31</v>
      </c>
      <c r="X249" s="7">
        <v>0.9617</v>
      </c>
      <c r="Y249" s="21"/>
    </row>
    <row r="250" spans="13:25" x14ac:dyDescent="0.3">
      <c r="M250" s="21"/>
      <c r="U250" s="4"/>
      <c r="V250" s="7" t="s">
        <v>235</v>
      </c>
      <c r="W250" s="21">
        <v>10935.87</v>
      </c>
      <c r="X250" s="7">
        <v>0.72799999999999998</v>
      </c>
      <c r="Y250" s="21"/>
    </row>
    <row r="251" spans="13:25" x14ac:dyDescent="0.3">
      <c r="M251" s="21"/>
      <c r="U251" s="4"/>
      <c r="V251" s="7" t="s">
        <v>236</v>
      </c>
      <c r="W251" s="21">
        <v>7211.02</v>
      </c>
      <c r="X251" s="7">
        <v>0.72729999999999995</v>
      </c>
      <c r="Y251" s="21"/>
    </row>
    <row r="252" spans="13:25" x14ac:dyDescent="0.3">
      <c r="M252" s="21"/>
      <c r="U252" s="4"/>
      <c r="V252" s="7" t="s">
        <v>237</v>
      </c>
      <c r="W252" s="21">
        <v>3415.38</v>
      </c>
      <c r="X252" s="7">
        <v>0.7268</v>
      </c>
      <c r="Y252" s="21"/>
    </row>
    <row r="253" spans="13:25" x14ac:dyDescent="0.3">
      <c r="M253" s="21"/>
      <c r="U253" s="4"/>
      <c r="V253" s="7" t="s">
        <v>238</v>
      </c>
      <c r="W253" s="21">
        <v>8721.86</v>
      </c>
      <c r="X253" s="7">
        <v>0.76519999999999999</v>
      </c>
      <c r="Y253" s="21"/>
    </row>
    <row r="254" spans="13:25" x14ac:dyDescent="0.3">
      <c r="M254" s="21"/>
      <c r="U254" s="4"/>
      <c r="V254" s="7" t="s">
        <v>239</v>
      </c>
      <c r="W254" s="21">
        <v>6114.26</v>
      </c>
      <c r="X254" s="7">
        <v>0.79449999999999998</v>
      </c>
      <c r="Y254" s="21"/>
    </row>
    <row r="255" spans="13:25" x14ac:dyDescent="0.3">
      <c r="M255" s="21"/>
      <c r="U255" s="4"/>
      <c r="V255" s="7" t="s">
        <v>240</v>
      </c>
      <c r="W255" s="21">
        <v>3285.36</v>
      </c>
      <c r="X255" s="7">
        <v>0.7621</v>
      </c>
    </row>
    <row r="256" spans="13:25" x14ac:dyDescent="0.3">
      <c r="M256" s="21"/>
      <c r="U256" s="4"/>
      <c r="V256" s="7" t="s">
        <v>238</v>
      </c>
      <c r="W256" s="21">
        <v>8721.86</v>
      </c>
      <c r="X256" s="7">
        <v>0.76519999999999999</v>
      </c>
    </row>
    <row r="257" spans="21:24" x14ac:dyDescent="0.3">
      <c r="U257" s="4"/>
      <c r="V257" s="7" t="s">
        <v>239</v>
      </c>
      <c r="W257" s="21">
        <v>6114.26</v>
      </c>
      <c r="X257" s="7">
        <v>0.79449999999999998</v>
      </c>
    </row>
    <row r="258" spans="21:24" x14ac:dyDescent="0.3">
      <c r="U258" s="4"/>
      <c r="V258" s="7" t="s">
        <v>240</v>
      </c>
      <c r="W258" s="21">
        <v>3285.36</v>
      </c>
      <c r="X258" s="7">
        <v>0.7621</v>
      </c>
    </row>
    <row r="259" spans="21:24" x14ac:dyDescent="0.3">
      <c r="U259" s="4"/>
      <c r="W259" s="21"/>
      <c r="X259" s="7"/>
    </row>
    <row r="260" spans="21:24" x14ac:dyDescent="0.3">
      <c r="U260" s="4"/>
      <c r="W260" s="21"/>
      <c r="X260" s="7"/>
    </row>
    <row r="261" spans="21:24" x14ac:dyDescent="0.3">
      <c r="U261" s="4"/>
      <c r="W261" s="21"/>
      <c r="X261" s="7"/>
    </row>
    <row r="262" spans="21:24" x14ac:dyDescent="0.3">
      <c r="U262" s="4"/>
      <c r="W262" s="21"/>
      <c r="X262" s="7"/>
    </row>
    <row r="263" spans="21:24" x14ac:dyDescent="0.3">
      <c r="U263" s="4"/>
      <c r="W263" s="21"/>
      <c r="X263" s="7"/>
    </row>
    <row r="264" spans="21:24" x14ac:dyDescent="0.3">
      <c r="U264" s="4"/>
      <c r="W264" s="21"/>
      <c r="X264" s="7"/>
    </row>
    <row r="265" spans="21:24" x14ac:dyDescent="0.3">
      <c r="U265" s="4"/>
      <c r="W265" s="21"/>
      <c r="X265" s="7"/>
    </row>
    <row r="266" spans="21:24" x14ac:dyDescent="0.3">
      <c r="U266" s="4"/>
    </row>
    <row r="267" spans="21:24" x14ac:dyDescent="0.3">
      <c r="U267" s="4"/>
    </row>
    <row r="268" spans="21:24" x14ac:dyDescent="0.3">
      <c r="U268" s="4"/>
    </row>
    <row r="269" spans="21:24" x14ac:dyDescent="0.3">
      <c r="U269" s="4"/>
    </row>
    <row r="270" spans="21:24" x14ac:dyDescent="0.3">
      <c r="U270" s="4"/>
    </row>
    <row r="271" spans="21:24" x14ac:dyDescent="0.3">
      <c r="U271" s="4"/>
    </row>
    <row r="272" spans="21:24" x14ac:dyDescent="0.3">
      <c r="U272" s="4"/>
    </row>
    <row r="273" spans="21:23" x14ac:dyDescent="0.3">
      <c r="U273" s="4"/>
    </row>
    <row r="274" spans="21:23" x14ac:dyDescent="0.3">
      <c r="U274" s="4"/>
    </row>
    <row r="275" spans="21:23" x14ac:dyDescent="0.3">
      <c r="U275" s="4"/>
      <c r="W275" s="21"/>
    </row>
    <row r="276" spans="21:23" x14ac:dyDescent="0.3">
      <c r="U276" s="4"/>
      <c r="W276" s="21"/>
    </row>
    <row r="277" spans="21:23" x14ac:dyDescent="0.3">
      <c r="U277" s="4"/>
      <c r="W277" s="21"/>
    </row>
    <row r="278" spans="21:23" x14ac:dyDescent="0.3">
      <c r="U278" s="4"/>
      <c r="W278" s="21"/>
    </row>
    <row r="279" spans="21:23" x14ac:dyDescent="0.3">
      <c r="U279" s="4"/>
      <c r="W279" s="21"/>
    </row>
    <row r="280" spans="21:23" x14ac:dyDescent="0.3">
      <c r="U280" s="4"/>
      <c r="W280" s="21"/>
    </row>
    <row r="281" spans="21:23" x14ac:dyDescent="0.3">
      <c r="U281" s="4"/>
      <c r="W281" s="21"/>
    </row>
    <row r="282" spans="21:23" x14ac:dyDescent="0.3">
      <c r="U282" s="4"/>
      <c r="W282" s="21"/>
    </row>
    <row r="283" spans="21:23" x14ac:dyDescent="0.3">
      <c r="U283" s="4"/>
      <c r="W283" s="21"/>
    </row>
    <row r="284" spans="21:23" x14ac:dyDescent="0.3">
      <c r="U284" s="4"/>
      <c r="W284" s="21"/>
    </row>
    <row r="285" spans="21:23" x14ac:dyDescent="0.3">
      <c r="U285" s="4"/>
      <c r="W285" s="21"/>
    </row>
    <row r="286" spans="21:23" x14ac:dyDescent="0.3">
      <c r="U286" s="4"/>
      <c r="W286" s="21"/>
    </row>
    <row r="287" spans="21:23" x14ac:dyDescent="0.3">
      <c r="U287" s="4"/>
    </row>
    <row r="288" spans="21:23" x14ac:dyDescent="0.3">
      <c r="U288" s="4"/>
    </row>
    <row r="289" spans="21:21" x14ac:dyDescent="0.3">
      <c r="U289" s="4"/>
    </row>
  </sheetData>
  <mergeCells count="12">
    <mergeCell ref="A23:A30"/>
    <mergeCell ref="I23:I30"/>
    <mergeCell ref="A31:A38"/>
    <mergeCell ref="I31:I38"/>
    <mergeCell ref="A39:A46"/>
    <mergeCell ref="I39:I46"/>
    <mergeCell ref="A3:A6"/>
    <mergeCell ref="I3:I6"/>
    <mergeCell ref="A7:A14"/>
    <mergeCell ref="I7:I14"/>
    <mergeCell ref="A15:A22"/>
    <mergeCell ref="I15:I22"/>
  </mergeCells>
  <conditionalFormatting sqref="A88 A86">
    <cfRule type="containsErrors" dxfId="97" priority="17">
      <formula>ISERROR(A86)</formula>
    </cfRule>
  </conditionalFormatting>
  <conditionalFormatting sqref="A88">
    <cfRule type="cellIs" dxfId="96" priority="15" operator="greaterThanOrEqual">
      <formula>2000</formula>
    </cfRule>
  </conditionalFormatting>
  <conditionalFormatting sqref="B71:E71 B78:E78">
    <cfRule type="notContainsBlanks" dxfId="95" priority="16">
      <formula>LEN(TRIM(B71))&gt;0</formula>
    </cfRule>
  </conditionalFormatting>
  <conditionalFormatting sqref="F5:F6">
    <cfRule type="cellIs" dxfId="94" priority="8" operator="greaterThan">
      <formula>150</formula>
    </cfRule>
    <cfRule type="cellIs" dxfId="93" priority="9" operator="lessThan">
      <formula>150</formula>
    </cfRule>
  </conditionalFormatting>
  <conditionalFormatting sqref="F15:F46">
    <cfRule type="cellIs" dxfId="92" priority="12" operator="greaterThan">
      <formula>150</formula>
    </cfRule>
    <cfRule type="cellIs" dxfId="91" priority="13" operator="lessThan">
      <formula>150</formula>
    </cfRule>
  </conditionalFormatting>
  <conditionalFormatting sqref="G5:G6">
    <cfRule type="cellIs" dxfId="90" priority="6" operator="lessThan">
      <formula>200</formula>
    </cfRule>
    <cfRule type="cellIs" dxfId="89" priority="7" operator="greaterThan">
      <formula>200</formula>
    </cfRule>
  </conditionalFormatting>
  <conditionalFormatting sqref="G71:H71 G78:H78">
    <cfRule type="notContainsBlanks" dxfId="88" priority="14">
      <formula>LEN(TRIM(G71))&gt;0</formula>
    </cfRule>
  </conditionalFormatting>
  <conditionalFormatting sqref="H3:H6 H15:H46">
    <cfRule type="cellIs" dxfId="87" priority="5" operator="lessThan">
      <formula>50</formula>
    </cfRule>
  </conditionalFormatting>
  <conditionalFormatting sqref="N7:N46">
    <cfRule type="cellIs" dxfId="86" priority="2" operator="greaterThan">
      <formula>150</formula>
    </cfRule>
    <cfRule type="cellIs" dxfId="85" priority="3" operator="lessThan">
      <formula>150</formula>
    </cfRule>
  </conditionalFormatting>
  <conditionalFormatting sqref="O7:O46 G15:G46">
    <cfRule type="cellIs" dxfId="84" priority="10" operator="lessThan">
      <formula>200</formula>
    </cfRule>
    <cfRule type="cellIs" dxfId="83" priority="11" operator="greaterThan">
      <formula>200</formula>
    </cfRule>
  </conditionalFormatting>
  <conditionalFormatting sqref="P7:P46">
    <cfRule type="cellIs" dxfId="82" priority="4" operator="lessThan">
      <formula>50</formula>
    </cfRule>
  </conditionalFormatting>
  <conditionalFormatting sqref="Q3:R4">
    <cfRule type="cellIs" dxfId="81" priority="1" operator="lessThan">
      <formula>105.1</formula>
    </cfRule>
  </conditionalFormatting>
  <printOptions horizontalCentered="1"/>
  <pageMargins left="0.14000000000000001" right="0.13" top="1.04" bottom="0.28999999999999998" header="0.6" footer="0.13"/>
  <pageSetup scale="63" orientation="landscape" r:id="rId1"/>
  <headerFooter scaleWithDoc="0">
    <oddHeader>&amp;CNIEHSO 20180515
RFI Values
BRTIV 14, 120, 161-168 - Run 1</oddHead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99FF"/>
  </sheetPr>
  <dimension ref="A1:Q28"/>
  <sheetViews>
    <sheetView zoomScaleNormal="100" workbookViewId="0">
      <selection activeCell="C13" sqref="C13"/>
    </sheetView>
  </sheetViews>
  <sheetFormatPr defaultRowHeight="14.4" x14ac:dyDescent="0.3"/>
  <cols>
    <col min="1" max="1" width="13.5546875" bestFit="1" customWidth="1"/>
    <col min="2" max="2" width="15.6640625" customWidth="1"/>
    <col min="3" max="3" width="13.44140625" customWidth="1"/>
    <col min="4" max="4" width="8.6640625" style="60" customWidth="1"/>
    <col min="5" max="5" width="9.109375" style="22"/>
    <col min="6" max="6" width="9.109375" style="60"/>
    <col min="7" max="7" width="9.109375" style="22"/>
    <col min="8" max="8" width="10.88671875" style="22" customWidth="1"/>
    <col min="9" max="9" width="9.109375" style="60"/>
    <col min="10" max="10" width="9.109375" style="22"/>
    <col min="11" max="11" width="9.5546875" style="60" customWidth="1"/>
    <col min="12" max="13" width="9.109375" style="22"/>
    <col min="14" max="14" width="9.6640625" customWidth="1"/>
  </cols>
  <sheetData>
    <row r="1" spans="1:17" ht="18" x14ac:dyDescent="0.35">
      <c r="A1" s="83"/>
      <c r="B1" s="83"/>
      <c r="C1" s="83"/>
      <c r="D1" s="178" t="s">
        <v>91</v>
      </c>
      <c r="E1" s="179"/>
      <c r="F1" s="179"/>
      <c r="G1" s="179"/>
      <c r="H1" s="179"/>
      <c r="I1" s="179"/>
      <c r="J1" s="179"/>
      <c r="K1" s="179"/>
      <c r="L1" s="179"/>
      <c r="M1" s="180"/>
    </row>
    <row r="2" spans="1:17" ht="18.75" customHeight="1" x14ac:dyDescent="0.35">
      <c r="A2" s="181" t="s">
        <v>1</v>
      </c>
      <c r="B2" s="182" t="s">
        <v>271</v>
      </c>
      <c r="C2" s="184" t="s">
        <v>268</v>
      </c>
      <c r="D2" s="186" t="s">
        <v>269</v>
      </c>
      <c r="E2" s="187"/>
      <c r="F2" s="187"/>
      <c r="G2" s="187"/>
      <c r="H2" s="188"/>
      <c r="I2" s="186" t="s">
        <v>270</v>
      </c>
      <c r="J2" s="187"/>
      <c r="K2" s="187"/>
      <c r="L2" s="187"/>
      <c r="M2" s="188"/>
    </row>
    <row r="3" spans="1:17" ht="18" x14ac:dyDescent="0.35">
      <c r="A3" s="181"/>
      <c r="B3" s="183"/>
      <c r="C3" s="185"/>
      <c r="D3" s="84" t="s">
        <v>278</v>
      </c>
      <c r="E3" s="85" t="s">
        <v>279</v>
      </c>
      <c r="F3" s="86" t="s">
        <v>280</v>
      </c>
      <c r="G3" s="85" t="s">
        <v>281</v>
      </c>
      <c r="H3" s="87" t="s">
        <v>266</v>
      </c>
      <c r="I3" s="84" t="s">
        <v>278</v>
      </c>
      <c r="J3" s="85" t="s">
        <v>279</v>
      </c>
      <c r="K3" s="86" t="s">
        <v>280</v>
      </c>
      <c r="L3" s="85" t="s">
        <v>281</v>
      </c>
      <c r="M3" s="87" t="s">
        <v>266</v>
      </c>
    </row>
    <row r="4" spans="1:17" x14ac:dyDescent="0.3">
      <c r="A4" s="93" t="str">
        <f>'Starting Concentrations'!$A$2</f>
        <v>BPA</v>
      </c>
      <c r="B4" s="94" t="str">
        <f>IF(AND(COUNTIFS('Run 1'!$F$23:$F$30,"&gt;150",'Run 1'!$H$23:$H$30,"&gt;50")=0,COUNTIFS('Run 1'!$G$23:$G$30,"&gt;200",'Run 1'!$H$23:$H$30,"&gt;50")=0),"Non-sensitizer","Sensitizer")</f>
        <v>Sensitizer</v>
      </c>
      <c r="C4" s="95" t="str">
        <f>IF($B$4="Non-Sensitizer",IF(AND(OR('Starting Concentrations'!$B$2=5000,'Starting Concentrations'!$B$2=1000),COUNTIF('Run 1'!$H$23:$H$30,"&gt;50")&gt;=4),"Yes",IF(AND('Run 1'!$H$23&lt;90,COUNTIF('Run 1'!$H$23:$H$30,"&gt;50")&gt;=4),"Yes","No")),IF(COUNTIF('Run 1'!$H$23:$H$30,"&gt;50")&gt;=4,"Yes","No"))</f>
        <v>Yes</v>
      </c>
      <c r="D4" s="96">
        <f>IF(_xlfn.MINIFS('Run 1'!$B$23:$B$30,'Run 1'!$H$23:$H$30,"&gt;50",'Run 1'!$F$23:$F$30,"&gt;150")&gt;0,_xlfn.MINIFS('Run 1'!$B$23:$B$30,'Run 1'!$H$23:$H$30,"&gt;50",'Run 1'!$F$23:$F$30,"&gt;150"),"")</f>
        <v>12.000510831047102</v>
      </c>
      <c r="E4" s="92">
        <f>IF($D4="","",VLOOKUP($D4,'Run 1'!$B$23:$F$30,5,FALSE))</f>
        <v>154.67042213601178</v>
      </c>
      <c r="F4" s="97" t="str">
        <f>IF(_xlfn.MAXIFS('Run 1'!$B$23:$B$30,'Run 1'!$B$23:$B$30,"&lt;"&amp;D4)&gt;0,_xlfn.MAXIFS('Run 1'!$B$23:$B$30,'Run 1'!$B$23:$B$30,"&lt;"&amp;D4),"")</f>
        <v/>
      </c>
      <c r="G4" s="89" t="str">
        <f>IF($F4="","",VLOOKUP($F4,'Run 1'!$B$23:$F$30,5,FALSE))</f>
        <v/>
      </c>
      <c r="H4" s="98" t="str">
        <f>IF(COUNTBLANK(D4:G4)=0,$F$4+((150-$G$4)/($E$4-$G$4)*($D$4-$F$4)),"")</f>
        <v/>
      </c>
      <c r="I4" s="96" t="str">
        <f>IF(_xlfn.MINIFS('Run 1'!$B$27:$B$29,'Run 1'!$F$27:$F$29,"&gt;150",'Run 1'!$F$27:$F$29,"&gt;"&amp;('Run 1'!$F$30*0.1+'Run 1'!$F$30))&gt;0,_xlfn.MINIFS('Run 1'!$B$27:$B$29,'Run 1'!$F$27:$F$29,"&gt;"&amp;('Run 1'!$F$30*0.1+'Run 1'!$F$30)),"")</f>
        <v/>
      </c>
      <c r="J4" s="89" t="str">
        <f>IF($I4="","",VLOOKUP($I4,'Run 1'!$B$23:$F$30,5,FALSE))</f>
        <v/>
      </c>
      <c r="K4" s="91" t="str">
        <f>IF(I4="","",'Run 1'!$B$30)</f>
        <v/>
      </c>
      <c r="L4" s="92" t="str">
        <f>IF(I4="","",'Run 1'!$F$30)</f>
        <v/>
      </c>
      <c r="M4" s="98" t="str">
        <f>IF(COUNTBLANK($I$4:$L$4)=0,2^(LOG($K$4,2)+(150-$L$4)/($J$4-$L$4)*(LOG($I$4,2)-LOG($K$4,2))),"")</f>
        <v/>
      </c>
      <c r="P4" s="4"/>
      <c r="Q4" s="4"/>
    </row>
    <row r="5" spans="1:17" x14ac:dyDescent="0.3">
      <c r="A5" s="93" t="str">
        <f>'Starting Concentrations'!$A$3</f>
        <v>BPAF</v>
      </c>
      <c r="B5" s="94" t="str">
        <f>IF(AND(COUNTIFS('Run 1'!$F$31:$F$38,"&gt;150",'Run 1'!$H$31:$H$38,"&gt;50")=0,COUNTIFS('Run 1'!$G$31:$G$38,"&gt;200",'Run 1'!$H$31:$H$38,"&gt;50")=0),"Non-sensitizer","Sensitizer")</f>
        <v>Sensitizer</v>
      </c>
      <c r="C5" s="95" t="str">
        <f>IF($B$5="Non-Sensitizer",IF(AND(OR('Starting Concentrations'!$B$3=5000,'Starting Concentrations'!$B$3=1000),COUNTIF('Run 1'!$H$31:$H$38,"&gt;50")&gt;=4),"Yes",IF(AND('Run 1'!$H$31&lt;90,COUNTIF('Run 1'!$H$31:$H$38,"&gt;50")&gt;=4),"Yes","No")),IF(COUNTIF('Run 1'!$H$31:$H$38,"&gt;50")&gt;=4,"Yes","No"))</f>
        <v>Yes</v>
      </c>
      <c r="D5" s="96">
        <f>IF(_xlfn.MINIFS('Run 1'!$B$31:$B$38,'Run 1'!$H$31:$H$38,"&gt;50",'Run 1'!$F$31:$F$38,"&gt;150")&gt;0,_xlfn.MINIFS('Run 1'!$B$31:$B$38,'Run 1'!$H$31:$H$38,"&gt;50",'Run 1'!$F$31:$F$38,"&gt;150"),"")</f>
        <v>10.898919753086423</v>
      </c>
      <c r="E5" s="92">
        <f>IF($D5="","",VLOOKUP($D5,'Run 1'!$B$31:$F$38,5,FALSE))</f>
        <v>185.41301305557027</v>
      </c>
      <c r="F5" s="92">
        <f>IF(_xlfn.MAXIFS('Run 1'!$B$32:$B$38,'Run 1'!$B$32:$B$38,"&lt;"&amp;D5)&gt;0,_xlfn.MAXIFS('Run 1'!$B$32:$B$38,'Run 1'!$B$32:$B$38,"&lt;"&amp;D5),"")</f>
        <v>9.0824331275720187</v>
      </c>
      <c r="G5" s="89">
        <f>IF($F5="","",VLOOKUP($F5,'Run 1'!$B$32:$F$38,5,FALSE))</f>
        <v>141.44036420966856</v>
      </c>
      <c r="H5" s="98">
        <f>IF(COUNTBLANK(D5:G5)=0,$F$5+((150-$G$5)/($E$5-$G$5)*($D$5-$F$5)),"")</f>
        <v>9.4360271079323947</v>
      </c>
      <c r="I5" s="96">
        <f>IF(_xlfn.MINIFS('Run 1'!$B$35:$B$37,'Run 1'!$F$35:$F$37,"&gt;150",'Run 1'!$F$35:$F$37,"&gt;"&amp;('Run 1'!$F$38*0.1+'Run 1'!$F$38))&gt;0,_xlfn.MINIFS('Run 1'!$B$35:$B$37,'Run 1'!$F$35:$F$37,"&gt;"&amp;('Run 1'!$F$38*0.1+'Run 1'!$F$38)),"")</f>
        <v>9.0824331275720187</v>
      </c>
      <c r="J5" s="89">
        <f>IF($I5="","",VLOOKUP($I5,'Run 1'!$B$31:$F$38,5,FALSE))</f>
        <v>141.44036420966856</v>
      </c>
      <c r="K5" s="91">
        <f>IF(I5="","",'Run 1'!$B$38)</f>
        <v>6.3072452274805695</v>
      </c>
      <c r="L5" s="92">
        <f>IF(I5="","",'Run 1'!$F$38)</f>
        <v>124.74269720642681</v>
      </c>
      <c r="M5" s="98">
        <f>IF(COUNTBLANK($I$5:$L$5)=0,2^(LOG($K$5,2)+(150-$L$5)/($J$5-$L$5)*(LOG($I$5,2)-LOG($K$5,2))),"")</f>
        <v>10.949208523440795</v>
      </c>
      <c r="P5" s="4"/>
      <c r="Q5" s="4"/>
    </row>
    <row r="6" spans="1:17" x14ac:dyDescent="0.3">
      <c r="A6" s="93" t="str">
        <f>'Starting Concentrations'!$A$4</f>
        <v>BPS</v>
      </c>
      <c r="B6" s="94" t="str">
        <f>IF(AND(COUNTIFS('Run 1'!$F$39:$F$46,"&gt;150",'Run 1'!$H$39:$H$46,"&gt;50")=0,COUNTIFS('Run 1'!$G$39:$G$46,"&gt;200",'Run 1'!$H$39:$H$46,"&gt;50")=0),"Non-sensitizer","Sensitizer")</f>
        <v>Non-sensitizer</v>
      </c>
      <c r="C6" s="95" t="str">
        <f>IF($B$6="Non-Sensitizer",IF(AND(OR('Starting Concentrations'!$B$4=5000,'Starting Concentrations'!$B$4=1000),COUNTIF('Run 1'!$H$39:$H$46,"&gt;50")&gt;=4),"Yes",IF(AND('Run 1'!$H$39&lt;90,COUNTIF('Run 1'!$H$39:$H$46,"&gt;50")&gt;=4),"Yes","No")),IF(COUNTIF('Run 1'!$H$39:$H$46,"&gt;50")&gt;=4,"Yes","No"))</f>
        <v>Yes</v>
      </c>
      <c r="D6" s="88" t="str">
        <f>IF(_xlfn.MINIFS('Run 1'!$B$39:$B$46,'Run 1'!$H$39:$H$46,"&gt;50",'Run 1'!$F$39:$F$46,"&gt;150")&gt;0,_xlfn.MINIFS('Run 1'!$B$39:$B$46,'Run 1'!$H$39:$H$46,"&gt;50",'Run 1'!$F$39:$F$46,"&gt;150"),"")</f>
        <v/>
      </c>
      <c r="E6" s="89" t="str">
        <f>IF($D6="","",VLOOKUP($D6,'Run 1'!$B$39:$F$46,5,FALSE))</f>
        <v/>
      </c>
      <c r="F6" s="90" t="str">
        <f>IF(_xlfn.MAXIFS('Run 1'!$B$39:$B$46,'Run 1'!$B$39:$B$46,"&lt;"&amp;D6)&gt;0,_xlfn.MAXIFS('Run 1'!$B$39:$B$46,'Run 1'!$B$39:$B$46,"&lt;"&amp;D6),"")</f>
        <v/>
      </c>
      <c r="G6" s="89" t="str">
        <f>IF($F6="","",VLOOKUP($F6,'Run 1'!$B$39:$F$46,5,FALSE))</f>
        <v/>
      </c>
      <c r="H6" s="98" t="str">
        <f>IF(COUNTBLANK(D6:G6)=0,$F$6+((150-$G$6)/($E$6-$G$6)*($D$6-$F$6)),"")</f>
        <v/>
      </c>
      <c r="I6" s="96" t="str">
        <f>IF(_xlfn.MINIFS('Run 1'!$B$43:$B$45,'Run 1'!$F$43:$F$45,"&gt;150",'Run 1'!$F$43:$F$45,"&gt;"&amp;('Run 1'!$F$46*0.1+'Run 1'!$F$46))&gt;0,_xlfn.MINIFS('Run 1'!$B$43:$B$45,'Run 1'!$F$43:$F$45,"&gt;"&amp;('Run 1'!$F$46*0.1+'Run 1'!$F$46)),"")</f>
        <v/>
      </c>
      <c r="J6" s="89" t="str">
        <f>IF($I6="","",VLOOKUP($I6,'Run 1'!$B$39:$F$46,5,FALSE))</f>
        <v/>
      </c>
      <c r="K6" s="91" t="str">
        <f>IF(I6="","",'Run 1'!$B$46)</f>
        <v/>
      </c>
      <c r="L6" s="92" t="str">
        <f>IF(I6="","",'Run 1'!$F$46)</f>
        <v/>
      </c>
      <c r="M6" s="98" t="str">
        <f>IF(COUNTBLANK($I$6:$L$6)=0,2^(LOG($K$6,2)+(150-$L$6)/($J$6-$L$6)*(LOG($I$6,2)-LOG($K$6,2))),"")</f>
        <v/>
      </c>
      <c r="P6" s="4"/>
      <c r="Q6" s="4"/>
    </row>
    <row r="7" spans="1:17" x14ac:dyDescent="0.3">
      <c r="A7" s="93" t="str">
        <f>'Starting Concentrations'!$A$5</f>
        <v>2,4-BPS</v>
      </c>
      <c r="B7" s="94" t="str">
        <f>IF(AND(COUNTIFS('Run 1'!$N$7:$N$14,"&gt;150",'Run 1'!$P$7:$P$14,"&gt;50")=0,COUNTIFS('Run 1'!$O$7:$O$14,"&gt;200",'Run 1'!$P$7:$P$14,"&gt;50")=0),"Non-sensitizer","Sensitizer")</f>
        <v>Sensitizer</v>
      </c>
      <c r="C7" s="95" t="str">
        <f>IF($B$7="Non-Sensitizer",IF(AND(OR('Starting Concentrations'!$B$5=5000,'Starting Concentrations'!$B$5=1000),COUNTIF('Run 1'!$P$7:$P$14,"&gt;50")&gt;=4),"Yes",IF(AND('Run 1'!$P$7&lt;90,COUNTIF('Run 1'!$P$7:$P$14,"&gt;50")&gt;=4),"Yes","No")),IF(COUNTIF('Run 1'!$P$7:$P$14,"&gt;50")&gt;=4,"Yes","No"))</f>
        <v>Yes</v>
      </c>
      <c r="D7" s="96" t="str">
        <f>IF(_xlfn.MINIFS('Run 1'!$J$7:$J$14,'Run 1'!$P$7:$P$14,"&gt;50",'Run 1'!$N$7:$N$14,"&gt;150")&gt;0,_xlfn.MINIFS('Run 1'!$J$7:$J$14,'Run 1'!$P$7:$P$14,"&gt;50",'Run 1'!$N$7:$N$14,"&gt;150"),"")</f>
        <v/>
      </c>
      <c r="E7" s="92" t="str">
        <f>IF($D7="","",VLOOKUP($D7,'Run 1'!$J$7:$N$14,5,FALSE))</f>
        <v/>
      </c>
      <c r="F7" s="97" t="str">
        <f>IF(_xlfn.MAXIFS('Run 1'!$J$7:$J$14,'Run 1'!$J$7:$J$14,"&lt;"&amp;D7)&gt;0,_xlfn.MAXIFS('Run 1'!$J$7:$J$14,'Run 1'!$J$7:$J$14,"&lt;"&amp;D7),"")</f>
        <v/>
      </c>
      <c r="G7" s="92" t="str">
        <f>IF($F7="","",VLOOKUP($F7,'Run 1'!$J$7:$N$14,5,FALSE))</f>
        <v/>
      </c>
      <c r="H7" s="98" t="str">
        <f>IF(COUNTBLANK(D7:G7)=0,$F$7+((150-$G$7)/($E$7-$G$7)*($D$7-$F$7)),"")</f>
        <v/>
      </c>
      <c r="I7" s="96" t="str">
        <f>IF(_xlfn.MINIFS('Run 1'!$J$11:$J$13,'Run 1'!$N$11:$N$13,"&gt;150",'Run 1'!$N$11:$N$13,"&gt;"&amp;('Run 1'!$N$14*0.1+'Run 1'!$N$14))&gt;0,_xlfn.MINIFS('Run 1'!$J$11:$J$13,'Run 1'!$N$11:$N$13,"&gt;"&amp;('Run 1'!$N$14*0.1+'Run 1'!$N$14)),"")</f>
        <v/>
      </c>
      <c r="J7" s="89" t="str">
        <f>IF($I7="","",VLOOKUP($I7,'Run 1'!$J$7:$N$14,5,FALSE))</f>
        <v/>
      </c>
      <c r="K7" s="91" t="str">
        <f>IF(I7="","",'Run 1'!$J$14)</f>
        <v/>
      </c>
      <c r="L7" s="92" t="str">
        <f>IF(I7="","",'Run 1'!$N$14)</f>
        <v/>
      </c>
      <c r="M7" s="98" t="str">
        <f>IF(COUNTBLANK($I$7:$L$7)=0,2^(LOG($K$7,2)+(150-$L$7)/($J$7-$L$7)*(LOG($I$7,2)-LOG($K$7,2))),"")</f>
        <v/>
      </c>
      <c r="P7" s="4"/>
      <c r="Q7" s="4"/>
    </row>
    <row r="8" spans="1:17" x14ac:dyDescent="0.3">
      <c r="A8" s="93" t="str">
        <f>'Starting Concentrations'!$A$6</f>
        <v>BPF</v>
      </c>
      <c r="B8" s="94" t="str">
        <f>IF(AND(COUNTIFS('Run 1'!$N$15:$N$22,"&gt;150",'Run 1'!$P$15:$P$22,"&gt;50")=0,COUNTIFS('Run 1'!$O$15:$O$22,"&gt;200",'Run 1'!$P$15:$P$22,"&gt;50")=0),"Non-sensitizer","Sensitizer")</f>
        <v>Sensitizer</v>
      </c>
      <c r="C8" s="95" t="str">
        <f>IF($B$8="Non-Sensitizer",IF(AND(OR('Starting Concentrations'!$B$6=5000,'Starting Concentrations'!$B$6=1000),COUNTIF('Run 1'!$P$15:$P$22,"&gt;50")&gt;=4),"Yes",IF(AND('Run 1'!$P$15&lt;90,COUNTIF('Run 1'!$P$15:$P$22,"&gt;50")&gt;=4),"Yes","No")),IF(COUNTIF('Run 1'!$P$15:$P$22,"&gt;50")&gt;=4,"Yes","No"))</f>
        <v>Yes</v>
      </c>
      <c r="D8" s="96" t="str">
        <f>IF(_xlfn.MINIFS('Run 1'!$J$15:$J$22,'Run 1'!$P$15:$P$22,"&gt;50",'Run 1'!$N$15:$N$22,"&gt;150")&gt;0,_xlfn.MINIFS('Run 1'!$J$15:$J$22,'Run 1'!$P$15:$P$22,"&gt;50",'Run 1'!$N$15:$N$22,"&gt;150"),"")</f>
        <v/>
      </c>
      <c r="E8" s="92" t="str">
        <f>IF($D8="","",VLOOKUP($D8,'Run 1'!$J$15:$N$22,5,FALSE))</f>
        <v/>
      </c>
      <c r="F8" s="97" t="str">
        <f>IF(_xlfn.MAXIFS('Run 1'!$J$15:$J$22,'Run 1'!$J$15:$J$22,"&lt;"&amp;D8)&gt;0,_xlfn.MAXIFS('Run 1'!$J$15:$J$22,'Run 1'!$J$15:$J$22,"&lt;"&amp;D8),"")</f>
        <v/>
      </c>
      <c r="G8" s="92" t="str">
        <f>IF($F8="","",VLOOKUP($F8,'Run 1'!$J$15:$N$22,5,FALSE))</f>
        <v/>
      </c>
      <c r="H8" s="98" t="str">
        <f>IF(COUNTBLANK(D8:G8)=0,$F$8+((150-$G$8)/($E$8-$G$8)*($D$8-$F$8)),"")</f>
        <v/>
      </c>
      <c r="I8" s="96" t="str">
        <f>IF(_xlfn.MINIFS('Run 1'!$J$19:$J$21,'Run 1'!$N$19:$N$21,"&gt;150",'Run 1'!$N$19:$N$21,"&gt;"&amp;('Run 1'!$N$22*0.1+'Run 1'!$N$22))&gt;0,_xlfn.MINIFS('Run 1'!$J$19:$J$21,'Run 1'!$N$19:$N$21,"&gt;"&amp;('Run 1'!$N$22*0.1+'Run 1'!$N$22)),"")</f>
        <v/>
      </c>
      <c r="J8" s="89" t="str">
        <f>IF($I8="","",VLOOKUP($I8,'Run 1'!$J$15:$N$22,5,FALSE))</f>
        <v/>
      </c>
      <c r="K8" s="91" t="str">
        <f>IF(I8="","",'Run 1'!$J$22)</f>
        <v/>
      </c>
      <c r="L8" s="92" t="str">
        <f>IF(I8="","",'Run 1'!$N$22)</f>
        <v/>
      </c>
      <c r="M8" s="98" t="str">
        <f>IF(COUNTBLANK($I$8:$L$8)=0,2^(LOG($K$8,2)+(150-$L$8)/($J$8-$L$8)*(LOG($I$8,2)-LOG($K$8,2))),"")</f>
        <v/>
      </c>
      <c r="P8" s="4"/>
      <c r="Q8" s="4"/>
    </row>
    <row r="9" spans="1:17" x14ac:dyDescent="0.3">
      <c r="A9" s="93" t="str">
        <f>'Starting Concentrations'!$A$7</f>
        <v>BPB</v>
      </c>
      <c r="B9" s="94" t="str">
        <f>IF(AND(COUNTIFS('Run 1'!$N$23:$N$30,"&gt;150",'Run 1'!$P$23:$P$30,"&gt;50")=0,COUNTIFS('Run 1'!$O$23:$O$30,"&gt;200",'Run 1'!$P$23:$P$30,"&gt;50")=0),"Non-sensitizer","Sensitizer")</f>
        <v>Sensitizer</v>
      </c>
      <c r="C9" s="95" t="str">
        <f>IF($B$9="Non-Sensitizer",IF(AND(OR('Starting Concentrations'!$B$7=5000,'Starting Concentrations'!$B$7=1000),COUNTIF('Run 1'!$P$23:$P$30,"&gt;50")&gt;=4),"Yes",IF(AND('Run 1'!$P$23&lt;90,COUNTIF('Run 1'!$P$23:$P$30,"&gt;50")&gt;=4),"Yes","No")),IF(COUNTIF('Run 1'!$P$23:$P$30,"&gt;50")&gt;=4,"Yes","No"))</f>
        <v>Yes</v>
      </c>
      <c r="D9" s="96">
        <f>IF(_xlfn.MINIFS('Run 1'!$J$23:$J$30,'Run 1'!$P$23:$P$30,"&gt;50",'Run 1'!$N$23:$N$30,"&gt;150")&gt;0,_xlfn.MINIFS('Run 1'!$J$23:$J$30,'Run 1'!$P$23:$P$30,"&gt;50",'Run 1'!$N$23:$N$30,"&gt;150"),"")</f>
        <v>13.027531292866945</v>
      </c>
      <c r="E9" s="92">
        <f>IF($D9="","",VLOOKUP($D9,'Run 1'!$J$23:$N$30,5,FALSE))</f>
        <v>183.28107562310677</v>
      </c>
      <c r="F9" s="97">
        <f>IF(_xlfn.MAXIFS('Run 1'!$J$23:$J$30,'Run 1'!$J$23:$J$30,"&lt;"&amp;D9)&gt;0,_xlfn.MAXIFS('Run 1'!$J$23:$J$30,'Run 1'!$J$23:$J$30,"&lt;"&amp;D9),"")</f>
        <v>10.85627607738912</v>
      </c>
      <c r="G9" s="92">
        <f>IF($F9="","",VLOOKUP($F9,'Run 1'!$J$23:$N$30,5,FALSE))</f>
        <v>148.25246674106745</v>
      </c>
      <c r="H9" s="123">
        <f>IF(COUNTBLANK(D9:G9)=0,$F$9+((150-$G$9)/($E$9-$G$9)*($D$9-$F$9)),"")</f>
        <v>10.964597270373286</v>
      </c>
      <c r="I9" s="96">
        <f>IF(_xlfn.MINIFS('Run 1'!$J$27:$J$29,'Run 1'!$N$27:$N$29,"&gt;150",'Run 1'!$N$27:$N$29,"&gt;"&amp;('Run 1'!$N$30*0.1+'Run 1'!$N$30))&gt;0,_xlfn.MINIFS('Run 1'!$J$27:$J$29,'Run 1'!$N$27:$N$29,"&gt;"&amp;('Run 1'!$N$30*0.1+'Run 1'!$N$30)),"")</f>
        <v>13.027531292866945</v>
      </c>
      <c r="J9" s="89">
        <f>IF($I9="","",VLOOKUP($I9,'Run 1'!$J$23:$N$30,5,FALSE))</f>
        <v>183.28107562310677</v>
      </c>
      <c r="K9" s="91">
        <f>IF(I9="","",'Run 1'!$J$30)</f>
        <v>10.85627607738912</v>
      </c>
      <c r="L9" s="92">
        <f>IF(I9="","",'Run 1'!$N$30)</f>
        <v>148.25246674106745</v>
      </c>
      <c r="M9" s="98">
        <f>IF(COUNTBLANK($I$9:$L$9)=0,2^(LOG($K$9,2)+(150-$L$9)/($J$9-$L$9)*(LOG($I$9,2)-LOG($K$9,2))),"")</f>
        <v>10.955472973403554</v>
      </c>
      <c r="P9" s="4"/>
      <c r="Q9" s="4"/>
    </row>
    <row r="10" spans="1:17" x14ac:dyDescent="0.3">
      <c r="A10" s="99" t="str">
        <f>'Starting Concentrations'!$A$8</f>
        <v>BPAP</v>
      </c>
      <c r="B10" s="100" t="str">
        <f>IF(AND(COUNTIFS('Run 1'!$N$31:$N$38,"&gt;150",'Run 1'!$P$31:$P$38,"&gt;50")=0,COUNTIFS('Run 1'!$O$31:$O$38,"&gt;200",'Run 1'!$P$31:$P$38,"&gt;50")=0),"Non-sensitizer","Sensitizer")</f>
        <v>Sensitizer</v>
      </c>
      <c r="C10" s="101" t="str">
        <f>IF($B$10="Non-Sensitizer",IF(AND(OR('Starting Concentrations'!$B$8=5000,'Starting Concentrations'!$B$8=1000),COUNTIF('Run 1'!$P$31:$P$38,"&gt;50")&gt;=4),"Yes",IF(AND('Run 1'!$P$31&lt;90,COUNTIF('Run 1'!$P$31:$P$38,"&gt;50")&gt;=4),"Yes","No")),IF(COUNTIF('Run 1'!$P$31:$P$38,"&gt;50")&gt;=4,"Yes","No"))</f>
        <v>Yes</v>
      </c>
      <c r="D10" s="102">
        <f>IF(_xlfn.MINIFS('Run 1'!$J$31:$J$38,'Run 1'!$P$31:$P$38,"&gt;50",'Run 1'!$N$31:$N$38,"&gt;150")&gt;0,_xlfn.MINIFS('Run 1'!$J$31:$J$38,'Run 1'!$P$31:$P$38,"&gt;50",'Run 1'!$N$31:$N$38,"&gt;150"),"")</f>
        <v>17.083333333333336</v>
      </c>
      <c r="E10" s="103">
        <f>IF($D10="","",VLOOKUP($D10,'Run 1'!$J$31:$N$38,5,FALSE))</f>
        <v>190.04180616818132</v>
      </c>
      <c r="F10" s="104">
        <f>IF(_xlfn.MAXIFS('Run 1'!$J$31:$J$38,'Run 1'!$J$31:$J$38,"&lt;"&amp;D10)&gt;0,_xlfn.MAXIFS('Run 1'!$J$31:$J$38,'Run 1'!$J$31:$J$38,"&lt;"&amp;D10),"")</f>
        <v>14.236111111111114</v>
      </c>
      <c r="G10" s="103">
        <f>IF($F10="","",VLOOKUP($F10,'Run 1'!$J$31:$N$38,5,FALSE))</f>
        <v>129.4193194097536</v>
      </c>
      <c r="H10" s="143">
        <f>IF(COUNTBLANK(D10:G10)=0,$F$10+((150-$G$10)/($E$10-$G$10)*($D$10-$F$10)),"")</f>
        <v>15.202712355275036</v>
      </c>
      <c r="I10" s="102" t="str">
        <f>IF(_xlfn.MINIFS('Run 1'!$J$35:$J$37,'Run 1'!$N$35:$N$37,"&gt;150",'Run 1'!$N$35:$N$37,"&gt;"&amp;('Run 1'!$N$38*0.1+'Run 1'!$N$38))&gt;0,_xlfn.MINIFS('Run 1'!$J$35:$J$37,'Run 1'!$N$35:$N$37,"&gt;"&amp;('Run 1'!$N$38*0.1+'Run 1'!$N$38)),"")</f>
        <v/>
      </c>
      <c r="J10" s="103" t="str">
        <f>IF($I10="","",VLOOKUP($I10,'Run 1'!$J$31:$N$38,5,FALSE))</f>
        <v/>
      </c>
      <c r="K10" s="106" t="str">
        <f>IF(I10="","",'Run 1'!$J$38)</f>
        <v/>
      </c>
      <c r="L10" s="103" t="str">
        <f>IF(I10="","",'Run 1'!$N$38)</f>
        <v/>
      </c>
      <c r="M10" s="105" t="str">
        <f>IF(COUNTBLANK($I$10:$L$10)=0,2^(LOG($K$10,2)+(150-$L$10)/($J$10-$L$10)*(LOG($I$10,2)-LOG($K$10,2))),"")</f>
        <v/>
      </c>
      <c r="P10" s="4"/>
      <c r="Q10" s="4"/>
    </row>
    <row r="11" spans="1:17" ht="15" thickBot="1" x14ac:dyDescent="0.35">
      <c r="A11" s="107" t="str">
        <f>'Starting Concentrations'!$A$9</f>
        <v>BPE</v>
      </c>
      <c r="B11" s="108" t="str">
        <f>IF(AND(COUNTIFS('Run 1'!$N$39:$N$46,"&gt;150",'Run 1'!$P$39:$P$46,"&gt;50")=0,COUNTIFS('Run 1'!$O$39:$O$46,"&gt;200",'Run 1'!$P$39:$P$46,"&gt;50")=0),"Non-sensitizer","Sensitizer")</f>
        <v>Sensitizer</v>
      </c>
      <c r="C11" s="109" t="str">
        <f>IF($B$11="Non-Sensitizer",IF(AND(OR('Starting Concentrations'!$B$9=5000,'Starting Concentrations'!$B$9=1000),COUNTIF('Run 1'!$P$39:$P$46,"&gt;50")&gt;=4),"Yes",IF(AND('Run 1'!$P$39&lt;90,COUNTIF('Run 1'!$P$39:$P$46,"&gt;50")&gt;=4),"Yes","No")),IF(COUNTIF('Run 1'!$P$39:$P$46,"&gt;50")&gt;=4,"Yes","No"))</f>
        <v>Yes</v>
      </c>
      <c r="D11" s="110">
        <f>IF(_xlfn.MINIFS('Run 1'!$J$39:$J$46,'Run 1'!$P$39:$P$46,"&gt;50",'Run 1'!$N$39:$N$46,"&gt;150")&gt;0,_xlfn.MINIFS('Run 1'!$J$39:$J$46,'Run 1'!$P$39:$P$46,"&gt;50",'Run 1'!$N$39:$N$46,"&gt;150"),"")</f>
        <v>22.242807284522186</v>
      </c>
      <c r="E11" s="111">
        <f>IF($D11="","",VLOOKUP($D11,'Run 1'!$J$39:$N$46,5,FALSE))</f>
        <v>152.23025278560166</v>
      </c>
      <c r="F11" s="112" t="str">
        <f>IF(_xlfn.MAXIFS('Run 1'!$J$39:$J$46,'Run 1'!$J$39:$J$46,"&lt;"&amp;D11)&gt;0,_xlfn.MAXIFS('Run 1'!$J$39:$J$46,'Run 1'!$J$39:$J$46,"&lt;"&amp;D11),"")</f>
        <v/>
      </c>
      <c r="G11" s="111" t="str">
        <f>IF($F11="","",VLOOKUP($F11,'Run 1'!$J$39:$N$46,5,FALSE))</f>
        <v/>
      </c>
      <c r="H11" s="113" t="str">
        <f>IF(COUNTBLANK(D11:G11)=0,$F$11+((150-$G$11)/($E$11-$G$11)*($D$11-$F$11)),"")</f>
        <v/>
      </c>
      <c r="I11" s="110" t="str">
        <f>IF(_xlfn.MINIFS('Run 1'!$J$43:$J$45,'Run 1'!$N$43:$N$45,"&gt;150",'Run 1'!$N$43:$N$45,"&gt;"&amp;('Run 1'!$N$46*0.1+'Run 1'!$N$46))&gt;0,_xlfn.MINIFS('Run 1'!$J$43:$J$45,'Run 1'!$N$43:$N$45,"&gt;"&amp;('Run 1'!$N$46*0.1+'Run 1'!$N$46)),"")</f>
        <v/>
      </c>
      <c r="J11" s="111" t="str">
        <f>IF($I11="","",VLOOKUP($I11,'Run 1'!$J$39:$N$46,5,FALSE))</f>
        <v/>
      </c>
      <c r="K11" s="114" t="str">
        <f>IF(I11="","",'Run 1'!$J$46)</f>
        <v/>
      </c>
      <c r="L11" s="111" t="str">
        <f>IF(I11="","",'Run 1'!$N$46)</f>
        <v/>
      </c>
      <c r="M11" s="113" t="str">
        <f>IF(COUNTBLANK($I$11:$L$11)=0,2^(LOG($K$11,2)+(150-$L$11)/($J$11-$L$11)*(LOG($I$11,2)-LOG($K$11,2))),"")</f>
        <v/>
      </c>
      <c r="P11" s="4"/>
      <c r="Q11" s="4"/>
    </row>
    <row r="12" spans="1:17" x14ac:dyDescent="0.3">
      <c r="A12" s="83"/>
      <c r="B12" s="83"/>
      <c r="C12" s="83"/>
      <c r="D12" s="115"/>
      <c r="E12" s="116"/>
      <c r="F12" s="115"/>
      <c r="G12" s="116"/>
      <c r="H12" s="116"/>
      <c r="I12" s="115"/>
      <c r="J12" s="116"/>
      <c r="K12" s="115"/>
      <c r="L12" s="116"/>
      <c r="M12" s="116"/>
    </row>
    <row r="13" spans="1:17" ht="15" thickBot="1" x14ac:dyDescent="0.35">
      <c r="A13" s="83"/>
      <c r="B13" s="83"/>
      <c r="C13" s="83"/>
      <c r="D13" s="115"/>
      <c r="E13" s="116"/>
      <c r="F13" s="115"/>
      <c r="G13" s="116"/>
      <c r="H13" s="116"/>
      <c r="I13" s="115"/>
      <c r="J13" s="116"/>
      <c r="K13" s="115"/>
      <c r="L13" s="116"/>
      <c r="M13" s="116"/>
    </row>
    <row r="14" spans="1:17" ht="18.75" customHeight="1" x14ac:dyDescent="0.35">
      <c r="A14" s="83"/>
      <c r="B14" s="83"/>
      <c r="C14" s="83"/>
      <c r="D14" s="178" t="s">
        <v>92</v>
      </c>
      <c r="E14" s="179"/>
      <c r="F14" s="179"/>
      <c r="G14" s="179"/>
      <c r="H14" s="179"/>
      <c r="I14" s="179"/>
      <c r="J14" s="179"/>
      <c r="K14" s="179"/>
      <c r="L14" s="179"/>
      <c r="M14" s="180"/>
    </row>
    <row r="15" spans="1:17" ht="18.75" customHeight="1" x14ac:dyDescent="0.35">
      <c r="A15" s="181" t="s">
        <v>1</v>
      </c>
      <c r="B15" s="182" t="s">
        <v>271</v>
      </c>
      <c r="C15" s="189" t="s">
        <v>268</v>
      </c>
      <c r="D15" s="186" t="s">
        <v>269</v>
      </c>
      <c r="E15" s="187"/>
      <c r="F15" s="187"/>
      <c r="G15" s="187"/>
      <c r="H15" s="188"/>
      <c r="I15" s="186" t="s">
        <v>270</v>
      </c>
      <c r="J15" s="187"/>
      <c r="K15" s="187"/>
      <c r="L15" s="187"/>
      <c r="M15" s="188"/>
    </row>
    <row r="16" spans="1:17" ht="18" x14ac:dyDescent="0.35">
      <c r="A16" s="181"/>
      <c r="B16" s="183"/>
      <c r="C16" s="189"/>
      <c r="D16" s="84" t="s">
        <v>278</v>
      </c>
      <c r="E16" s="85" t="s">
        <v>279</v>
      </c>
      <c r="F16" s="86" t="s">
        <v>280</v>
      </c>
      <c r="G16" s="85" t="s">
        <v>281</v>
      </c>
      <c r="H16" s="87" t="s">
        <v>267</v>
      </c>
      <c r="I16" s="84" t="s">
        <v>278</v>
      </c>
      <c r="J16" s="85" t="s">
        <v>279</v>
      </c>
      <c r="K16" s="86" t="s">
        <v>280</v>
      </c>
      <c r="L16" s="85" t="s">
        <v>281</v>
      </c>
      <c r="M16" s="87" t="s">
        <v>267</v>
      </c>
    </row>
    <row r="17" spans="1:15" x14ac:dyDescent="0.3">
      <c r="A17" s="93" t="str">
        <f>'Starting Concentrations'!$A$2</f>
        <v>BPA</v>
      </c>
      <c r="B17" s="94" t="str">
        <f>IF(AND(COUNTIFS('Run 1'!$F$23:$F$30,"&gt;150",'Run 1'!$H$23:$H$30,"&gt;50")=0,COUNTIFS('Run 1'!$G$23:$G$30,"&gt;200",'Run 1'!$H$23:$H$30,"&gt;50")=0),"Non-sensitizer","Sensitizer")</f>
        <v>Sensitizer</v>
      </c>
      <c r="C17" s="95" t="str">
        <f>IF($B$4="Non-Sensitizer",IF(AND(OR('Starting Concentrations'!$B$2=5000,'Starting Concentrations'!$B$2=1000),COUNTIF('Run 1'!$H$23:$H$30,"&gt;50")&gt;=4),"Yes",IF(AND('Run 1'!$H$23&lt;90,COUNTIF('Run 1'!$H$23:$H$30,"&gt;50")&gt;=4),"Yes","No")),IF(COUNTIF('Run 1'!$H$23:$H$30,"&gt;50")&gt;=4,"Yes","No"))</f>
        <v>Yes</v>
      </c>
      <c r="D17" s="96">
        <f>IF(_xlfn.MINIFS('Run 1'!$B$23:$B$30,'Run 1'!$H$23:$H$30,"&gt;50",'Run 1'!$G$23:$G$30,"&gt;200")&gt;0,_xlfn.MINIFS('Run 1'!$B$23:$B$30,'Run 1'!$H$23:$H$30,"&gt;50",'Run 1'!$G$23:$G$30,"&gt;200"),"")</f>
        <v>14.400612997256522</v>
      </c>
      <c r="E17" s="92">
        <f>IF($D17="","",VLOOKUP($D17,'Run 1'!$B$23:$G$30,6,FALSE))</f>
        <v>201.87339688876045</v>
      </c>
      <c r="F17" s="97">
        <f>IF(_xlfn.MAXIFS('Run 1'!$B$23:$B$30,'Run 1'!$B$23:$B$30,"&lt;"&amp;D17)&gt;0,_xlfn.MAXIFS('Run 1'!$B$23:$B$30,'Run 1'!$B$23:$B$30,"&lt;"&amp;D17),"")</f>
        <v>12.000510831047102</v>
      </c>
      <c r="G17" s="89">
        <f>IF($F17="","",VLOOKUP($F17,'Run 1'!$B$23:$G$30,6,FALSE))</f>
        <v>163.37684166294616</v>
      </c>
      <c r="H17" s="123">
        <f t="shared" ref="H17:H24" si="0">IF(COUNTBLANK($D17:$G17)=0,$F17+((200-$G17)/($E17-$G17)*($D17-$F17)),"")</f>
        <v>14.283814392692836</v>
      </c>
      <c r="I17" s="96">
        <f>IF(_xlfn.MINIFS('Run 1'!$B$27:$B$29,'Run 1'!$G$27:$G$29,"&gt;200",'Run 1'!$G$27:$G$29,"&gt;"&amp;('Run 1'!$G$30*0.1+'Run 1'!$G$30))&gt;0,_xlfn.MINIFS('Run 1'!$B$27:$B$29,'Run 1'!$G$27:$G$29,"&gt;"&amp;('Run 1'!$G$30*0.1+'Run 1'!$G$30)),"")</f>
        <v>14.400612997256522</v>
      </c>
      <c r="J17" s="89">
        <f>IF($I17="","",VLOOKUP($I17,'Run 1'!$B$23:$G$30,6,FALSE))</f>
        <v>201.87339688876045</v>
      </c>
      <c r="K17" s="91">
        <f>IF(I17="","",'Run 1'!$B$30)</f>
        <v>12.000510831047102</v>
      </c>
      <c r="L17" s="92">
        <f>IF(I17="","",'Run 1'!$G$30)</f>
        <v>163.37684166294616</v>
      </c>
      <c r="M17" s="98">
        <f t="shared" ref="M17:M24" si="1">IF(COUNTBLANK($I17:$L17)=0,2^(LOG($K17,2)+(200-$L17)/($J17-$L17)*(LOG($I17,2)-LOG($K17,2))),"")</f>
        <v>14.273408721125131</v>
      </c>
    </row>
    <row r="18" spans="1:15" x14ac:dyDescent="0.3">
      <c r="A18" s="93" t="str">
        <f>'Starting Concentrations'!$A$3</f>
        <v>BPAF</v>
      </c>
      <c r="B18" s="94" t="str">
        <f>IF(AND(COUNTIFS('Run 1'!$F$31:$F$38,"&gt;150",'Run 1'!$H$31:$H$38,"&gt;50")=0,COUNTIFS('Run 1'!$G$31:$G$38,"&gt;200",'Run 1'!$H$31:$H$38,"&gt;50")=0),"Non-sensitizer","Sensitizer")</f>
        <v>Sensitizer</v>
      </c>
      <c r="C18" s="95" t="str">
        <f>IF($B$5="Non-Sensitizer",IF(AND(OR('Starting Concentrations'!$B$3=5000,'Starting Concentrations'!$B$3=1000),COUNTIF('Run 1'!$H$31:$H$38,"&gt;50")&gt;=4),"Yes",IF(AND('Run 1'!$H$31&lt;90,COUNTIF('Run 1'!$H$31:$H$38,"&gt;50")&gt;=4),"Yes","No")),IF(COUNTIF('Run 1'!$H$31:$H$38,"&gt;50")&gt;=4,"Yes","No"))</f>
        <v>Yes</v>
      </c>
      <c r="D18" s="96">
        <f>IF(_xlfn.MINIFS('Run 1'!$B$31:$B$38,'Run 1'!$H$31:$H$38,"&gt;50",'Run 1'!$G$31:$G$38,"&gt;200")&gt;0,_xlfn.MINIFS('Run 1'!$B$31:$B$38,'Run 1'!$H$31:$H$38,"&gt;50",'Run 1'!$G$31:$G$38,"&gt;200"),"")</f>
        <v>10.898919753086423</v>
      </c>
      <c r="E18" s="92">
        <f>IF($D18="","",VLOOKUP($D18,'Run 1'!$B$31:$G$38,6,FALSE))</f>
        <v>203.04120597736164</v>
      </c>
      <c r="F18" s="92">
        <f>IF(_xlfn.MAXIFS('Run 1'!$B$32:$B$38,'Run 1'!$B$32:$B$38,"&lt;"&amp;D18)&gt;0,_xlfn.MAXIFS('Run 1'!$B$32:$B$38,'Run 1'!$B$32:$B$38,"&lt;"&amp;D18),"")</f>
        <v>9.0824331275720187</v>
      </c>
      <c r="G18" s="89">
        <f>IF($F18="","",VLOOKUP($F18,'Run 1'!$B$32:$G$38,6,FALSE))</f>
        <v>176.77950818954577</v>
      </c>
      <c r="H18" s="123">
        <f t="shared" si="0"/>
        <v>10.688563589979752</v>
      </c>
      <c r="I18" s="96">
        <f>IF(_xlfn.MINIFS('Run 1'!$B$35:$B$37,'Run 1'!$G$35:$G$37,"&gt;200",'Run 1'!$G$35:$G$37,"&gt;"&amp;('Run 1'!$G$38*0.1+'Run 1'!$G$38))&gt;0,_xlfn.MINIFS('Run 1'!$B$35:$B$37,'Run 1'!$G$35:$G$37,"&gt;"&amp;('Run 1'!$G$38*0.1+'Run 1'!$G$38)),"")</f>
        <v>10.898919753086423</v>
      </c>
      <c r="J18" s="89">
        <f>IF($I18="","",VLOOKUP($I18,'Run 1'!$B$31:$G$38,6,FALSE))</f>
        <v>203.04120597736164</v>
      </c>
      <c r="K18" s="91">
        <f>IF(I18="","",'Run 1'!$B$38)</f>
        <v>6.3072452274805695</v>
      </c>
      <c r="L18" s="92">
        <f>IF(I18="","",'Run 1'!$G$38)</f>
        <v>164.90794968090972</v>
      </c>
      <c r="M18" s="98">
        <f t="shared" si="1"/>
        <v>10.433712150225347</v>
      </c>
    </row>
    <row r="19" spans="1:15" x14ac:dyDescent="0.3">
      <c r="A19" s="93" t="str">
        <f>'Starting Concentrations'!$A$4</f>
        <v>BPS</v>
      </c>
      <c r="B19" s="94" t="str">
        <f>IF(AND(COUNTIFS('Run 1'!$F$39:$F$46,"&gt;150",'Run 1'!$H$39:$H$46,"&gt;50")=0,COUNTIFS('Run 1'!$G$39:$G$46,"&gt;200",'Run 1'!$H$39:$H$46,"&gt;50")=0),"Non-sensitizer","Sensitizer")</f>
        <v>Non-sensitizer</v>
      </c>
      <c r="C19" s="95" t="str">
        <f>IF($B$6="Non-Sensitizer",IF(AND(OR('Starting Concentrations'!$B$4=5000,'Starting Concentrations'!$B$4=1000),COUNTIF('Run 1'!$H$39:$H$46,"&gt;50")&gt;=4),"Yes",IF(AND('Run 1'!$H$39&lt;90,COUNTIF('Run 1'!$H$39:$H$46,"&gt;50")&gt;=4),"Yes","No")),IF(COUNTIF('Run 1'!$H$39:$H$46,"&gt;50")&gt;=4,"Yes","No"))</f>
        <v>Yes</v>
      </c>
      <c r="D19" s="88" t="str">
        <f>IF(_xlfn.MINIFS('Run 1'!$B$39:$B$46,'Run 1'!$H$39:$H$46,"&gt;50",'Run 1'!$G$39:$G$46,"&gt;200")&gt;0,_xlfn.MINIFS('Run 1'!$B$39:$B$46,'Run 1'!$H$39:$H$46,"&gt;50",'Run 1'!$G$39:$G$46,"&gt;200"),"")</f>
        <v/>
      </c>
      <c r="E19" s="89" t="str">
        <f>IF($D19="","",VLOOKUP($D19,'Run 1'!$B$39:$G$46,6,FALSE))</f>
        <v/>
      </c>
      <c r="F19" s="90" t="str">
        <f>IF(_xlfn.MAXIFS('Run 1'!$B$39:$B$46,'Run 1'!$B$39:$B$46,"&lt;"&amp;D19)&gt;0,_xlfn.MAXIFS('Run 1'!$B$39:$B$46,'Run 1'!$B$39:$B$46,"&lt;"&amp;D19),"")</f>
        <v/>
      </c>
      <c r="G19" s="89" t="str">
        <f>IF($F19="","",VLOOKUP($F19,'Run 1'!$B$39:$G$46,6,FALSE))</f>
        <v/>
      </c>
      <c r="H19" s="117" t="str">
        <f t="shared" si="0"/>
        <v/>
      </c>
      <c r="I19" s="96" t="str">
        <f>IF(_xlfn.MINIFS('Run 1'!$B$43:$B$45,'Run 1'!$G$43:$G$45,"&gt;200",'Run 1'!$G$43:$G$45,"&gt;"&amp;('Run 1'!$G$46*0.1+'Run 1'!$G$46))&gt;0,_xlfn.MINIFS('Run 1'!$B$43:$B$45,'Run 1'!$G$43:$G$45,"&gt;"&amp;('Run 1'!$G$46*0.1+'Run 1'!$G$46)),"")</f>
        <v/>
      </c>
      <c r="J19" s="89" t="str">
        <f>IF($I19="","",VLOOKUP($I19,'Run 1'!$B$39:$G$46,6,FALSE))</f>
        <v/>
      </c>
      <c r="K19" s="91" t="str">
        <f>IF(I19="","",'Run 1'!$B$46)</f>
        <v/>
      </c>
      <c r="L19" s="92" t="str">
        <f>IF(I19="","",'Run 1'!$G$46)</f>
        <v/>
      </c>
      <c r="M19" s="98" t="str">
        <f t="shared" si="1"/>
        <v/>
      </c>
    </row>
    <row r="20" spans="1:15" x14ac:dyDescent="0.3">
      <c r="A20" s="93" t="str">
        <f>'Starting Concentrations'!$A$5</f>
        <v>2,4-BPS</v>
      </c>
      <c r="B20" s="94" t="str">
        <f>IF(AND(COUNTIFS('Run 1'!$N$7:$N$14,"&gt;150",'Run 1'!$P$7:$P$14,"&gt;50")=0,COUNTIFS('Run 1'!$O$7:$O$14,"&gt;200",'Run 1'!$P$7:$P$14,"&gt;50")=0),"Non-sensitizer","Sensitizer")</f>
        <v>Sensitizer</v>
      </c>
      <c r="C20" s="95" t="str">
        <f>IF($B$7="Non-Sensitizer",IF(AND(OR('Starting Concentrations'!$B$5=5000,'Starting Concentrations'!$B$5=1000),COUNTIF('Run 1'!$P$7:$P$14,"&gt;50")&gt;=4),"Yes",IF(AND('Run 1'!$P$7&lt;90,COUNTIF('Run 1'!$P$7:$P$14,"&gt;50")&gt;=4),"Yes","No")),IF(COUNTIF('Run 1'!$P$7:$P$14,"&gt;50")&gt;=4,"Yes","No"))</f>
        <v>Yes</v>
      </c>
      <c r="D20" s="96">
        <f>IF(_xlfn.MINIFS('Run 1'!$J$7:$J$14,'Run 1'!$P$7:$P$14,"&gt;50",'Run 1'!$O$7:$O$14,"&gt;200")&gt;0,_xlfn.MINIFS('Run 1'!$J$7:$J$14,'Run 1'!$P$7:$P$14,"&gt;50",'Run 1'!$O$7:$O$14,"&gt;200"),"")</f>
        <v>98.861882716049394</v>
      </c>
      <c r="E20" s="92">
        <f>IF($D20="","",VLOOKUP($D20,'Run 1'!$J$7:$O$14,6,FALSE))</f>
        <v>213.25559611664087</v>
      </c>
      <c r="F20" s="97">
        <f>IF(_xlfn.MAXIFS('Run 1'!$J$7:$J$14,'Run 1'!$J$7:$J$14,"&lt;"&amp;D20)&gt;0,_xlfn.MAXIFS('Run 1'!$J$7:$J$14,'Run 1'!$J$7:$J$14,"&lt;"&amp;D20),"")</f>
        <v>82.384902263374499</v>
      </c>
      <c r="G20" s="92">
        <f>IF($F20="","",VLOOKUP($F20,'Run 1'!$J$7:$O$14,6,FALSE))</f>
        <v>199.50626362370991</v>
      </c>
      <c r="H20" s="123">
        <f t="shared" si="0"/>
        <v>82.976588050672831</v>
      </c>
      <c r="I20" s="96">
        <f>IF(_xlfn.MINIFS('Run 1'!$J$11:$J$13,'Run 1'!$O$11:$O$13,"&gt;200",'Run 1'!$O$11:$O$13,"&gt;"&amp;('Run 1'!$O$14*0.1+'Run 1'!$O$14))&gt;0,_xlfn.MINIFS('Run 1'!$J$11:$J$13,'Run 1'!$O$11:$O$13,"&gt;"&amp;('Run 1'!$O$14*0.1+'Run 1'!$O$14)),"")</f>
        <v>82.384902263374499</v>
      </c>
      <c r="J20" s="89">
        <f>IF($I20="","",VLOOKUP($I20,'Run 1'!$J$7:$O$14,6,FALSE))</f>
        <v>199.50626362370991</v>
      </c>
      <c r="K20" s="91">
        <f>IF(I20="","",'Run 1'!$J$14)</f>
        <v>57.211737682898971</v>
      </c>
      <c r="L20" s="92">
        <f>IF(I20="","",'Run 1'!$O$14)</f>
        <v>161.66364647074792</v>
      </c>
      <c r="M20" s="98">
        <f t="shared" si="1"/>
        <v>82.777785142127541</v>
      </c>
      <c r="O20" s="48"/>
    </row>
    <row r="21" spans="1:15" x14ac:dyDescent="0.3">
      <c r="A21" s="93" t="str">
        <f>'Starting Concentrations'!$A$6</f>
        <v>BPF</v>
      </c>
      <c r="B21" s="94" t="str">
        <f>IF(AND(COUNTIFS('Run 1'!$N$15:$N$22,"&gt;150",'Run 1'!$P$15:$P$22,"&gt;50")=0,COUNTIFS('Run 1'!$O$15:$O$22,"&gt;200",'Run 1'!$P$15:$P$22,"&gt;50")=0),"Non-sensitizer","Sensitizer")</f>
        <v>Sensitizer</v>
      </c>
      <c r="C21" s="95" t="str">
        <f>IF($B$8="Non-Sensitizer",IF(AND(OR('Starting Concentrations'!$B$6=5000,'Starting Concentrations'!$B$6=1000),COUNTIF('Run 1'!$P$15:$P$22,"&gt;50")&gt;=4),"Yes",IF(AND('Run 1'!$P$15&lt;90,COUNTIF('Run 1'!$P$15:$P$22,"&gt;50")&gt;=4),"Yes","No")),IF(COUNTIF('Run 1'!$P$15:$P$22,"&gt;50")&gt;=4,"Yes","No"))</f>
        <v>Yes</v>
      </c>
      <c r="D21" s="96">
        <f>IF(_xlfn.MINIFS('Run 1'!$J$15:$J$22,'Run 1'!$P$15:$P$22,"&gt;50",'Run 1'!$O$15:$O$22,"&gt;200")&gt;0,_xlfn.MINIFS('Run 1'!$J$15:$J$22,'Run 1'!$P$15:$P$22,"&gt;50",'Run 1'!$O$15:$O$22,"&gt;200"),"")</f>
        <v>48.472222222222221</v>
      </c>
      <c r="E21" s="92">
        <f>IF($D21="","",VLOOKUP($D21,'Run 1'!$J$15:$O$22,6,FALSE))</f>
        <v>220.07686179758559</v>
      </c>
      <c r="F21" s="97">
        <f>IF(_xlfn.MAXIFS('Run 1'!$J$15:$J$22,'Run 1'!$J$15:$J$22,"&lt;"&amp;D21)&gt;0,_xlfn.MAXIFS('Run 1'!$J$15:$J$22,'Run 1'!$J$15:$J$22,"&lt;"&amp;D21),"")</f>
        <v>40.393518518518519</v>
      </c>
      <c r="G21" s="92">
        <f>IF($F21="","",VLOOKUP($F21,'Run 1'!$J$15:$O$22,6,FALSE))</f>
        <v>182.71484973431032</v>
      </c>
      <c r="H21" s="123">
        <f t="shared" si="0"/>
        <v>44.131047622518835</v>
      </c>
      <c r="I21" s="96" t="str">
        <f>IF(_xlfn.MINIFS('Run 1'!$J$19:$J$21,'Run 1'!$O$19:$O$21,"&gt;200",'Run 1'!$O$19:$O$21,"&gt;"&amp;('Run 1'!$O$22*0.1+'Run 1'!$O$22))&gt;0,_xlfn.MINIFS('Run 1'!$J$19:$J$21,'Run 1'!$O$19:$O$21,"&gt;"&amp;('Run 1'!$O$22*0.1+'Run 1'!$O$22)),"")</f>
        <v/>
      </c>
      <c r="J21" s="89" t="str">
        <f>IF($I21="","",VLOOKUP($I21,'Run 1'!$J$15:$O$22,6,FALSE))</f>
        <v/>
      </c>
      <c r="K21" s="91" t="str">
        <f>IF(I21="","",'Run 1'!$J$22)</f>
        <v/>
      </c>
      <c r="L21" s="92" t="str">
        <f>IF(I21="","",'Run 1'!$O$22)</f>
        <v/>
      </c>
      <c r="M21" s="98" t="str">
        <f t="shared" si="1"/>
        <v/>
      </c>
    </row>
    <row r="22" spans="1:15" x14ac:dyDescent="0.3">
      <c r="A22" s="93" t="str">
        <f>'Starting Concentrations'!$A$7</f>
        <v>BPB</v>
      </c>
      <c r="B22" s="94" t="str">
        <f>IF(AND(COUNTIFS('Run 1'!$N$23:$N$30,"&gt;150",'Run 1'!$P$23:$P$30,"&gt;50")=0,COUNTIFS('Run 1'!$O$23:$O$30,"&gt;200",'Run 1'!$P$23:$P$30,"&gt;50")=0),"Non-sensitizer","Sensitizer")</f>
        <v>Sensitizer</v>
      </c>
      <c r="C22" s="95" t="str">
        <f>IF($B$9="Non-Sensitizer",IF(AND(OR('Starting Concentrations'!$B$7=5000,'Starting Concentrations'!$B$7=1000),COUNTIF('Run 1'!$P$23:$P$30,"&gt;50")&gt;=4),"Yes",IF(AND('Run 1'!$P$23&lt;90,COUNTIF('Run 1'!$P$23:$P$30,"&gt;50")&gt;=4),"Yes","No")),IF(COUNTIF('Run 1'!$P$23:$P$30,"&gt;50")&gt;=4,"Yes","No"))</f>
        <v>Yes</v>
      </c>
      <c r="D22" s="96">
        <f>IF(_xlfn.MINIFS('Run 1'!$J$23:$J$30,'Run 1'!$P$23:$P$30,"&gt;50",'Run 1'!$O$23:$O$30,"&gt;200")&gt;0,_xlfn.MINIFS('Run 1'!$J$23:$J$30,'Run 1'!$P$23:$P$30,"&gt;50",'Run 1'!$O$23:$O$30,"&gt;200"),"")</f>
        <v>13.027531292866945</v>
      </c>
      <c r="E22" s="92">
        <f>IF($D22="","",VLOOKUP($D22,'Run 1'!$J$23:$O$30,6,FALSE))</f>
        <v>215.0729661825599</v>
      </c>
      <c r="F22" s="97">
        <f>IF(_xlfn.MAXIFS('Run 1'!$J$23:$J$30,'Run 1'!$J$23:$J$30,"&lt;"&amp;D22)&gt;0,_xlfn.MAXIFS('Run 1'!$J$23:$J$30,'Run 1'!$J$23:$J$30,"&lt;"&amp;D22),"")</f>
        <v>10.85627607738912</v>
      </c>
      <c r="G22" s="92">
        <f>IF($F22="","",VLOOKUP($F22,'Run 1'!$J$23:$O$30,6,FALSE))</f>
        <v>173.84422792411866</v>
      </c>
      <c r="H22" s="123">
        <f t="shared" si="0"/>
        <v>12.233734106267294</v>
      </c>
      <c r="I22" s="96">
        <f>IF(_xlfn.MINIFS('Run 1'!$J$27:$J$29,'Run 1'!$O$27:$O$29,"&gt;200",'Run 1'!$O$27:$O$29,"&gt;"&amp;('Run 1'!$O$30*0.1+'Run 1'!$O$30))&gt;0,_xlfn.MINIFS('Run 1'!$J$27:$J$29,'Run 1'!$O$27:$O$29,"&gt;"&amp;('Run 1'!$O$30*0.1+'Run 1'!$O$30)),"")</f>
        <v>13.027531292866945</v>
      </c>
      <c r="J22" s="89">
        <f>IF($I22="","",VLOOKUP($I22,'Run 1'!$J$23:$O$30,6,FALSE))</f>
        <v>215.0729661825599</v>
      </c>
      <c r="K22" s="91">
        <f>IF(I22="","",'Run 1'!$J$30)</f>
        <v>10.85627607738912</v>
      </c>
      <c r="L22" s="92">
        <f>IF(I22="","",'Run 1'!$O$30)</f>
        <v>173.84422792411866</v>
      </c>
      <c r="M22" s="98">
        <f t="shared" si="1"/>
        <v>12.187481285671934</v>
      </c>
    </row>
    <row r="23" spans="1:15" x14ac:dyDescent="0.3">
      <c r="A23" s="99" t="str">
        <f>'Starting Concentrations'!$A$8</f>
        <v>BPAP</v>
      </c>
      <c r="B23" s="100" t="str">
        <f>IF(AND(COUNTIFS('Run 1'!$N$31:$N$38,"&gt;150",'Run 1'!$P$31:$P$38,"&gt;50")=0,COUNTIFS('Run 1'!$O$31:$O$38,"&gt;200",'Run 1'!$P$31:$P$38,"&gt;50")=0),"Non-sensitizer","Sensitizer")</f>
        <v>Sensitizer</v>
      </c>
      <c r="C23" s="101" t="str">
        <f>IF($B$10="Non-Sensitizer",IF(AND(OR('Starting Concentrations'!$B$8=5000,'Starting Concentrations'!$B$8=1000),COUNTIF('Run 1'!$P$31:$P$38,"&gt;50")&gt;=4),"Yes",IF(AND('Run 1'!$P$31&lt;90,COUNTIF('Run 1'!$P$31:$P$38,"&gt;50")&gt;=4),"Yes","No")),IF(COUNTIF('Run 1'!$P$31:$P$38,"&gt;50")&gt;=4,"Yes","No"))</f>
        <v>Yes</v>
      </c>
      <c r="D23" s="102">
        <f>IF(_xlfn.MINIFS('Run 1'!$J$31:$J$38,'Run 1'!$P$31:$P$38,"&gt;50",'Run 1'!$O$31:$O$38,"&gt;200")&gt;0,_xlfn.MINIFS('Run 1'!$J$31:$J$38,'Run 1'!$P$31:$P$38,"&gt;50",'Run 1'!$O$31:$O$38,"&gt;200"),"")</f>
        <v>17.083333333333336</v>
      </c>
      <c r="E23" s="103">
        <f>IF($D23="","",VLOOKUP($D23,'Run 1'!$J$31:$O$38,6,FALSE))</f>
        <v>278.98643975803424</v>
      </c>
      <c r="F23" s="104">
        <f>IF(_xlfn.MAXIFS('Run 1'!$J$31:$J$38,'Run 1'!$J$31:$J$38,"&lt;"&amp;D23)&gt;0,_xlfn.MAXIFS('Run 1'!$J$31:$J$38,'Run 1'!$J$31:$J$38,"&lt;"&amp;D23),"")</f>
        <v>14.236111111111114</v>
      </c>
      <c r="G23" s="103">
        <f>IF($F23="","",VLOOKUP($F23,'Run 1'!$J$31:$O$38,6,FALSE))</f>
        <v>188.31928285666763</v>
      </c>
      <c r="H23" s="143">
        <f t="shared" si="0"/>
        <v>14.602920864042572</v>
      </c>
      <c r="I23" s="102" t="str">
        <f>IF(_xlfn.MINIFS('Run 1'!$J$35:$J$37,'Run 1'!$O$35:$O$37,"&gt;200",'Run 1'!$O$35:$O$37,"&gt;"&amp;('Run 1'!$O$38*0.1+'Run 1'!$O$38))&gt;0,_xlfn.MINIFS('Run 1'!$J$35:$J$37,'Run 1'!$O$35:$O$37,"&gt;"&amp;('Run 1'!$O$38*0.1+'Run 1'!$O$38)),"")</f>
        <v/>
      </c>
      <c r="J23" s="103" t="str">
        <f>IF($I23="","",VLOOKUP($I23,'Run 1'!$J$31:$O$38,6,FALSE))</f>
        <v/>
      </c>
      <c r="K23" s="106" t="str">
        <f>IF(I23="","",'Run 1'!$J$38)</f>
        <v/>
      </c>
      <c r="L23" s="103" t="str">
        <f>IF(I23="","",'Run 1'!$O$38)</f>
        <v/>
      </c>
      <c r="M23" s="105" t="str">
        <f t="shared" si="1"/>
        <v/>
      </c>
    </row>
    <row r="24" spans="1:15" ht="15" thickBot="1" x14ac:dyDescent="0.35">
      <c r="A24" s="107" t="str">
        <f>'Starting Concentrations'!$A$9</f>
        <v>BPE</v>
      </c>
      <c r="B24" s="108" t="str">
        <f>IF(AND(COUNTIFS('Run 1'!$N$39:$N$46,"&gt;150",'Run 1'!$P$39:$P$46,"&gt;50")=0,COUNTIFS('Run 1'!$O$39:$O$46,"&gt;200",'Run 1'!$P$39:$P$46,"&gt;50")=0),"Non-sensitizer","Sensitizer")</f>
        <v>Sensitizer</v>
      </c>
      <c r="C24" s="109" t="str">
        <f>IF($B$11="Non-Sensitizer",IF(AND(OR('Starting Concentrations'!$B$9=5000,'Starting Concentrations'!$B$9=1000),COUNTIF('Run 1'!$P$39:$P$46,"&gt;50")&gt;=4),"Yes",IF(AND('Run 1'!$P$39&lt;90,COUNTIF('Run 1'!$P$39:$P$46,"&gt;50")&gt;=4),"Yes","No")),IF(COUNTIF('Run 1'!$P$39:$P$46,"&gt;50")&gt;=4,"Yes","No"))</f>
        <v>Yes</v>
      </c>
      <c r="D24" s="110">
        <f>IF(_xlfn.MINIFS('Run 1'!$J$39:$J$46,'Run 1'!$P$39:$P$46,"&gt;50",'Run 1'!$O$39:$O$46,"&gt;200")&gt;0,_xlfn.MINIFS('Run 1'!$J$39:$J$46,'Run 1'!$P$39:$P$46,"&gt;50",'Run 1'!$O$39:$O$46,"&gt;200"),"")</f>
        <v>26.691368741426622</v>
      </c>
      <c r="E24" s="111">
        <f>IF($D24="","",VLOOKUP($D24,'Run 1'!$J$39:$O$46,6,FALSE))</f>
        <v>272.8094825397659</v>
      </c>
      <c r="F24" s="112">
        <f>IF(_xlfn.MAXIFS('Run 1'!$J$39:$J$46,'Run 1'!$J$39:$J$46,"&lt;"&amp;D24)&gt;0,_xlfn.MAXIFS('Run 1'!$J$39:$J$46,'Run 1'!$J$39:$J$46,"&lt;"&amp;D24),"")</f>
        <v>22.242807284522186</v>
      </c>
      <c r="G24" s="111">
        <f>IF($F24="","",VLOOKUP($F24,'Run 1'!$J$39:$O$46,6,FALSE))</f>
        <v>193.80290814227311</v>
      </c>
      <c r="H24" s="124">
        <f t="shared" si="0"/>
        <v>22.591742093978436</v>
      </c>
      <c r="I24" s="110">
        <f>IF(_xlfn.MINIFS('Run 1'!$J$43:$J$45,'Run 1'!$O$43:$O$45,"&gt;200",'Run 1'!$O$43:$O$45,"&gt;"&amp;('Run 1'!$O$46*0.1+'Run 1'!$O$46))&gt;0,_xlfn.MINIFS('Run 1'!$J$43:$J$45,'Run 1'!$O$43:$O$45,"&gt;"&amp;('Run 1'!$O$46*0.1+'Run 1'!$O$46)),"")</f>
        <v>26.691368741426622</v>
      </c>
      <c r="J24" s="111">
        <f>IF($I24="","",VLOOKUP($I24,'Run 1'!$J$39:$O$46,6,FALSE))</f>
        <v>272.8094825397659</v>
      </c>
      <c r="K24" s="114">
        <f>IF(I24="","",'Run 1'!$J$46)</f>
        <v>22.242807284522186</v>
      </c>
      <c r="L24" s="111">
        <f>IF(I24="","",'Run 1'!$O$46)</f>
        <v>193.80290814227311</v>
      </c>
      <c r="M24" s="113">
        <f t="shared" si="1"/>
        <v>22.563184349544802</v>
      </c>
    </row>
    <row r="27" spans="1:15" x14ac:dyDescent="0.3">
      <c r="D27" s="60" t="s">
        <v>277</v>
      </c>
    </row>
    <row r="28" spans="1:15" x14ac:dyDescent="0.3">
      <c r="D28" s="60" t="s">
        <v>277</v>
      </c>
    </row>
  </sheetData>
  <mergeCells count="12">
    <mergeCell ref="D14:M14"/>
    <mergeCell ref="A15:A16"/>
    <mergeCell ref="B15:B16"/>
    <mergeCell ref="C15:C16"/>
    <mergeCell ref="D15:H15"/>
    <mergeCell ref="I15:M15"/>
    <mergeCell ref="D1:M1"/>
    <mergeCell ref="A2:A3"/>
    <mergeCell ref="B2:B3"/>
    <mergeCell ref="C2:C3"/>
    <mergeCell ref="D2:H2"/>
    <mergeCell ref="I2:M2"/>
  </mergeCells>
  <conditionalFormatting sqref="B4:C11 B17:C24">
    <cfRule type="expression" dxfId="72" priority="23" stopIfTrue="1">
      <formula>$C4="No"</formula>
    </cfRule>
  </conditionalFormatting>
  <conditionalFormatting sqref="D4:H11 D17:H24">
    <cfRule type="expression" dxfId="63" priority="24">
      <formula>COUNTBLANK($D4:$G4)&gt;1</formula>
    </cfRule>
  </conditionalFormatting>
  <conditionalFormatting sqref="D4:M11 D17:M24">
    <cfRule type="expression" dxfId="62" priority="11" stopIfTrue="1">
      <formula>$C4="No"</formula>
    </cfRule>
    <cfRule type="expression" dxfId="61" priority="12">
      <formula>$B4="Non-sensitizer"</formula>
    </cfRule>
  </conditionalFormatting>
  <conditionalFormatting sqref="I4:M11 I17:M24">
    <cfRule type="expression" dxfId="60" priority="25">
      <formula>COUNTBLANK($H4)=0</formula>
    </cfRule>
    <cfRule type="expression" dxfId="59" priority="26">
      <formula>COUNTBLANK($I4:$M4)&gt;1</formula>
    </cfRule>
  </conditionalFormatting>
  <printOptions horizontalCentered="1"/>
  <pageMargins left="0.3" right="0.22" top="1.32" bottom="0.75" header="0.68" footer="0.3"/>
  <pageSetup scale="89" orientation="landscape" r:id="rId1"/>
  <headerFooter>
    <oddHeader>&amp;CNIEHSO 20180515
EC150 &amp; EC200
BRTIV 14, 120, 161-168 - Run 1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D09E3169-78E3-4936-8854-9D4764443B0C}">
            <xm:f>COUNTIF('Run 1'!$C$23:$E$30,"&gt;0")=0</xm:f>
            <x14:dxf>
              <fill>
                <patternFill>
                  <bgColor rgb="FF92D050"/>
                </patternFill>
              </fill>
            </x14:dxf>
          </x14:cfRule>
          <xm:sqref>A4 A17</xm:sqref>
        </x14:conditionalFormatting>
        <x14:conditionalFormatting xmlns:xm="http://schemas.microsoft.com/office/excel/2006/main">
          <x14:cfRule type="expression" priority="16" id="{676F5128-832A-48CE-AE68-EF7C97B75125}">
            <xm:f>COUNTIF('Run 1'!$C$31:$E$38,"&gt;0")=0</xm:f>
            <x14:dxf>
              <fill>
                <patternFill>
                  <bgColor rgb="FF92D050"/>
                </patternFill>
              </fill>
            </x14:dxf>
          </x14:cfRule>
          <xm:sqref>A5 A18</xm:sqref>
        </x14:conditionalFormatting>
        <x14:conditionalFormatting xmlns:xm="http://schemas.microsoft.com/office/excel/2006/main">
          <x14:cfRule type="expression" priority="17" id="{E0EEEA27-6F7F-4F80-A55C-1272F568184A}">
            <xm:f>COUNTIF('Run 1'!$C$39:$E$46,"&gt;0")=0</xm:f>
            <x14:dxf>
              <fill>
                <patternFill>
                  <bgColor rgb="FF92D050"/>
                </patternFill>
              </fill>
            </x14:dxf>
          </x14:cfRule>
          <xm:sqref>A6 A19</xm:sqref>
        </x14:conditionalFormatting>
        <x14:conditionalFormatting xmlns:xm="http://schemas.microsoft.com/office/excel/2006/main">
          <x14:cfRule type="expression" priority="18" id="{6E48AA48-2AAC-480C-B2FD-A913E7BD67A7}">
            <xm:f>COUNTIF('Run 1'!$K$7:$M$14,"&gt;0")=0</xm:f>
            <x14:dxf>
              <fill>
                <patternFill>
                  <bgColor rgb="FF92D050"/>
                </patternFill>
              </fill>
            </x14:dxf>
          </x14:cfRule>
          <xm:sqref>A7 A20</xm:sqref>
        </x14:conditionalFormatting>
        <x14:conditionalFormatting xmlns:xm="http://schemas.microsoft.com/office/excel/2006/main">
          <x14:cfRule type="expression" priority="19" id="{927FEDAD-BAEE-4A74-A922-7B26BD4BA37A}">
            <xm:f>COUNTIF('Run 1'!$K$15:$M$22,"&gt;0")=0</xm:f>
            <x14:dxf>
              <fill>
                <patternFill>
                  <bgColor rgb="FF92D050"/>
                </patternFill>
              </fill>
            </x14:dxf>
          </x14:cfRule>
          <xm:sqref>A8 A21</xm:sqref>
        </x14:conditionalFormatting>
        <x14:conditionalFormatting xmlns:xm="http://schemas.microsoft.com/office/excel/2006/main">
          <x14:cfRule type="expression" priority="20" id="{8BAC2AF3-B0DB-4F98-9051-7DBB6A094A46}">
            <xm:f>COUNTIF('Run 1'!$K$23:$M$30,"&gt;0")=0</xm:f>
            <x14:dxf>
              <fill>
                <patternFill>
                  <bgColor rgb="FF92D050"/>
                </patternFill>
              </fill>
            </x14:dxf>
          </x14:cfRule>
          <xm:sqref>A9 A22</xm:sqref>
        </x14:conditionalFormatting>
        <x14:conditionalFormatting xmlns:xm="http://schemas.microsoft.com/office/excel/2006/main">
          <x14:cfRule type="expression" priority="21" id="{12A33EB4-7AB6-4471-96C7-02F02F87C619}">
            <xm:f>COUNTIF('Run 1'!$K$31:$M$38,"&gt;0")=0</xm:f>
            <x14:dxf>
              <fill>
                <patternFill>
                  <bgColor rgb="FF92D050"/>
                </patternFill>
              </fill>
            </x14:dxf>
          </x14:cfRule>
          <xm:sqref>A10 A23</xm:sqref>
        </x14:conditionalFormatting>
        <x14:conditionalFormatting xmlns:xm="http://schemas.microsoft.com/office/excel/2006/main">
          <x14:cfRule type="expression" priority="22" id="{22CDC5DA-5E3C-46A3-B5B0-37324EF23F5B}">
            <xm:f>COUNTIF('Run 1'!$K$39:$M$46,"&gt;0")=0</xm:f>
            <x14:dxf>
              <fill>
                <patternFill>
                  <bgColor rgb="FF92D050"/>
                </patternFill>
              </fill>
            </x14:dxf>
          </x14:cfRule>
          <xm:sqref>A11 A24</xm:sqref>
        </x14:conditionalFormatting>
        <x14:conditionalFormatting xmlns:xm="http://schemas.microsoft.com/office/excel/2006/main">
          <x14:cfRule type="expression" priority="3" id="{14C838C2-FC30-408A-B7E8-22AE7DDA34EE}">
            <xm:f>COUNTIF('Run 1'!$C$23:$E$30,"&gt;0")=0</xm:f>
            <x14:dxf>
              <font>
                <color rgb="FF92D050"/>
              </font>
              <fill>
                <patternFill>
                  <bgColor rgb="FF92D050"/>
                </patternFill>
              </fill>
            </x14:dxf>
          </x14:cfRule>
          <xm:sqref>B4:M4 B17:M17</xm:sqref>
        </x14:conditionalFormatting>
        <x14:conditionalFormatting xmlns:xm="http://schemas.microsoft.com/office/excel/2006/main">
          <x14:cfRule type="expression" priority="4" id="{CC948275-4DA7-4B62-99DF-C10EE42B414F}">
            <xm:f>COUNTIF('Run 1'!$C$31:$E$38,"&gt;0")=0</xm:f>
            <x14:dxf>
              <font>
                <color rgb="FF92D050"/>
              </font>
              <fill>
                <patternFill>
                  <bgColor rgb="FF92D050"/>
                </patternFill>
              </fill>
            </x14:dxf>
          </x14:cfRule>
          <xm:sqref>B5:M5 B18:M18</xm:sqref>
        </x14:conditionalFormatting>
        <x14:conditionalFormatting xmlns:xm="http://schemas.microsoft.com/office/excel/2006/main">
          <x14:cfRule type="expression" priority="5" id="{344EA524-6AE7-4AFA-B4CF-E989E36EBDF0}">
            <xm:f>COUNTIF('Run 1'!$C$39:$E$46,"&gt;0")=0</xm:f>
            <x14:dxf>
              <font>
                <color rgb="FF92D050"/>
              </font>
              <fill>
                <patternFill>
                  <bgColor rgb="FF92D050"/>
                </patternFill>
              </fill>
            </x14:dxf>
          </x14:cfRule>
          <xm:sqref>B6:M6 B19:M19</xm:sqref>
        </x14:conditionalFormatting>
        <x14:conditionalFormatting xmlns:xm="http://schemas.microsoft.com/office/excel/2006/main">
          <x14:cfRule type="expression" priority="6" id="{0068BCC6-E239-4708-96C7-F8E9C98166F3}">
            <xm:f>COUNTIF('Run 1'!$K$7:$M$14,"&gt;0")=0</xm:f>
            <x14:dxf>
              <font>
                <color rgb="FF92D050"/>
              </font>
              <fill>
                <patternFill>
                  <bgColor rgb="FF92D050"/>
                </patternFill>
              </fill>
            </x14:dxf>
          </x14:cfRule>
          <xm:sqref>B7:M7 B20:M20</xm:sqref>
        </x14:conditionalFormatting>
        <x14:conditionalFormatting xmlns:xm="http://schemas.microsoft.com/office/excel/2006/main">
          <x14:cfRule type="expression" priority="7" id="{171AB4C6-B583-4B54-AAF1-92D97FF41FEB}">
            <xm:f>COUNTIF('Run 1'!$K$15:$M$22,"&gt;0")=0</xm:f>
            <x14:dxf>
              <font>
                <color rgb="FF92D050"/>
              </font>
              <fill>
                <patternFill>
                  <bgColor rgb="FF92D050"/>
                </patternFill>
              </fill>
            </x14:dxf>
          </x14:cfRule>
          <xm:sqref>B8:M8 B21:M21</xm:sqref>
        </x14:conditionalFormatting>
        <x14:conditionalFormatting xmlns:xm="http://schemas.microsoft.com/office/excel/2006/main">
          <x14:cfRule type="expression" priority="8" id="{47075DD5-4CAC-4D6E-A519-18BA86C8665A}">
            <xm:f>COUNTIF('Run 1'!$K$23:$M$30,"&gt;0")=0</xm:f>
            <x14:dxf>
              <font>
                <color rgb="FF92D050"/>
              </font>
              <fill>
                <patternFill>
                  <bgColor rgb="FF92D050"/>
                </patternFill>
              </fill>
            </x14:dxf>
          </x14:cfRule>
          <xm:sqref>B9:M9 B22:M22</xm:sqref>
        </x14:conditionalFormatting>
        <x14:conditionalFormatting xmlns:xm="http://schemas.microsoft.com/office/excel/2006/main">
          <x14:cfRule type="expression" priority="9" id="{94F72AB0-931B-41DE-8283-70B74DC0C9B5}">
            <xm:f>COUNTIF('Run 1'!$K$31:$M$38,"&gt;0")=0</xm:f>
            <x14:dxf>
              <font>
                <color rgb="FF92D050"/>
              </font>
              <fill>
                <patternFill>
                  <bgColor rgb="FF92D050"/>
                </patternFill>
              </fill>
            </x14:dxf>
          </x14:cfRule>
          <xm:sqref>B10:M10 B23:M23</xm:sqref>
        </x14:conditionalFormatting>
        <x14:conditionalFormatting xmlns:xm="http://schemas.microsoft.com/office/excel/2006/main">
          <x14:cfRule type="expression" priority="10" id="{D1908322-3321-4E83-81CD-88E3BEF80CC2}">
            <xm:f>COUNTIF('Run 1'!$K$39:$M$46,"&gt;0")=0</xm:f>
            <x14:dxf>
              <font>
                <color rgb="FF92D050"/>
              </font>
              <fill>
                <patternFill>
                  <bgColor rgb="FF92D050"/>
                </patternFill>
              </fill>
            </x14:dxf>
          </x14:cfRule>
          <xm:sqref>B11:M11 B24:M24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6FFFF"/>
    <pageSetUpPr fitToPage="1"/>
  </sheetPr>
  <dimension ref="A1:Y289"/>
  <sheetViews>
    <sheetView zoomScale="85" zoomScaleNormal="85" workbookViewId="0">
      <selection activeCell="A7" sqref="A7:H14"/>
    </sheetView>
  </sheetViews>
  <sheetFormatPr defaultRowHeight="14.4" x14ac:dyDescent="0.3"/>
  <cols>
    <col min="1" max="1" width="11.5546875" style="4" customWidth="1"/>
    <col min="2" max="2" width="14.88671875" style="4" customWidth="1"/>
    <col min="3" max="8" width="11.33203125" customWidth="1"/>
    <col min="9" max="9" width="11.5546875" customWidth="1"/>
    <col min="10" max="10" width="14.88671875" customWidth="1"/>
    <col min="11" max="16" width="12.33203125" customWidth="1"/>
    <col min="23" max="23" width="21.5546875" customWidth="1"/>
    <col min="24" max="24" width="12.88671875" customWidth="1"/>
  </cols>
  <sheetData>
    <row r="1" spans="1:24" ht="15" thickBot="1" x14ac:dyDescent="0.35">
      <c r="W1" t="s">
        <v>290</v>
      </c>
      <c r="X1" t="s">
        <v>291</v>
      </c>
    </row>
    <row r="2" spans="1:24" ht="28.8" x14ac:dyDescent="0.3">
      <c r="A2" s="30" t="s">
        <v>1</v>
      </c>
      <c r="B2" s="30" t="s">
        <v>0</v>
      </c>
      <c r="C2" s="31" t="s">
        <v>91</v>
      </c>
      <c r="D2" s="31" t="s">
        <v>92</v>
      </c>
      <c r="E2" s="32" t="s">
        <v>263</v>
      </c>
      <c r="F2" s="34" t="s">
        <v>264</v>
      </c>
      <c r="G2" s="38" t="s">
        <v>265</v>
      </c>
      <c r="H2" s="67" t="s">
        <v>276</v>
      </c>
      <c r="I2" s="33" t="s">
        <v>1</v>
      </c>
      <c r="J2" s="30" t="s">
        <v>0</v>
      </c>
      <c r="K2" s="31" t="s">
        <v>91</v>
      </c>
      <c r="L2" s="31" t="s">
        <v>92</v>
      </c>
      <c r="M2" s="32" t="s">
        <v>263</v>
      </c>
      <c r="N2" s="34" t="s">
        <v>264</v>
      </c>
      <c r="O2" s="38" t="s">
        <v>265</v>
      </c>
      <c r="P2" s="67" t="s">
        <v>276</v>
      </c>
      <c r="Q2" s="34" t="s">
        <v>282</v>
      </c>
      <c r="R2" s="38" t="s">
        <v>283</v>
      </c>
      <c r="W2" t="s">
        <v>94</v>
      </c>
      <c r="X2" t="s">
        <v>292</v>
      </c>
    </row>
    <row r="3" spans="1:24" ht="15.9" customHeight="1" x14ac:dyDescent="0.3">
      <c r="A3" s="166" t="s">
        <v>275</v>
      </c>
      <c r="B3" s="16" t="s">
        <v>89</v>
      </c>
      <c r="C3" s="16">
        <f>W220</f>
        <v>5165.41</v>
      </c>
      <c r="D3" s="16">
        <f>W221</f>
        <v>4991.93</v>
      </c>
      <c r="E3" s="23">
        <f>W222</f>
        <v>2804.26</v>
      </c>
      <c r="F3" s="43"/>
      <c r="G3" s="44"/>
      <c r="H3" s="74">
        <f>$X$222*100</f>
        <v>96.25</v>
      </c>
      <c r="I3" s="169"/>
      <c r="J3" s="54"/>
      <c r="K3" s="54"/>
      <c r="L3" s="54"/>
      <c r="M3" s="57"/>
      <c r="N3" s="52"/>
      <c r="O3" s="57"/>
      <c r="P3" s="68"/>
      <c r="Q3" s="79">
        <f>(C3/$E$3)*100</f>
        <v>184.19868343163611</v>
      </c>
      <c r="R3" s="80">
        <f>(D3/$E$3)*100</f>
        <v>178.01238116294496</v>
      </c>
      <c r="W3" t="s">
        <v>95</v>
      </c>
      <c r="X3" t="s">
        <v>4</v>
      </c>
    </row>
    <row r="4" spans="1:24" ht="15.9" customHeight="1" thickBot="1" x14ac:dyDescent="0.35">
      <c r="A4" s="167"/>
      <c r="B4" s="11" t="s">
        <v>90</v>
      </c>
      <c r="C4" s="11">
        <f>W223</f>
        <v>5122.93</v>
      </c>
      <c r="D4" s="11">
        <f>W224</f>
        <v>4740.29</v>
      </c>
      <c r="E4" s="24">
        <f>W225</f>
        <v>2790.39</v>
      </c>
      <c r="F4" s="36">
        <f>(($C4-$E4)/($C$3-$E$3))*100</f>
        <v>98.788302310314918</v>
      </c>
      <c r="G4" s="40">
        <f>((D4-$E4)/($D$3-$E$3))*100</f>
        <v>89.131358934391386</v>
      </c>
      <c r="H4" s="64">
        <f>$X$225*100</f>
        <v>96.72</v>
      </c>
      <c r="I4" s="170"/>
      <c r="J4" s="55"/>
      <c r="K4" s="55"/>
      <c r="L4" s="55"/>
      <c r="M4" s="58"/>
      <c r="N4" s="53"/>
      <c r="O4" s="58"/>
      <c r="P4" s="69"/>
      <c r="Q4" s="81">
        <f>(C4/$E$4)*100</f>
        <v>183.59189934023561</v>
      </c>
      <c r="R4" s="82">
        <f>(D4/$E$4)*100</f>
        <v>169.87912083973927</v>
      </c>
      <c r="V4" t="s">
        <v>3</v>
      </c>
      <c r="W4" s="21">
        <v>5956.78</v>
      </c>
      <c r="X4" s="7">
        <v>0.74560000000000004</v>
      </c>
    </row>
    <row r="5" spans="1:24" ht="15.9" customHeight="1" x14ac:dyDescent="0.3">
      <c r="A5" s="167"/>
      <c r="B5" s="20" t="s">
        <v>284</v>
      </c>
      <c r="C5" s="20">
        <f>W226</f>
        <v>15403.25</v>
      </c>
      <c r="D5" s="20">
        <f>W227</f>
        <v>14246.9</v>
      </c>
      <c r="E5" s="29">
        <f>W228</f>
        <v>2987.74</v>
      </c>
      <c r="F5" s="36">
        <f>(($C5-$E5)/($C$4-$E$4))*100</f>
        <v>532.27425896233274</v>
      </c>
      <c r="G5" s="40">
        <f>((D5-$E5)/($D$4-$E$4))*100</f>
        <v>577.42243191958562</v>
      </c>
      <c r="H5" s="78">
        <f>$X$228*100</f>
        <v>67.179999999999993</v>
      </c>
      <c r="I5" s="170"/>
      <c r="J5" s="55"/>
      <c r="K5" s="55"/>
      <c r="L5" s="55"/>
      <c r="M5" s="58"/>
      <c r="N5" s="53"/>
      <c r="O5" s="58"/>
      <c r="P5" s="69"/>
      <c r="V5" t="s">
        <v>5</v>
      </c>
      <c r="W5" s="21">
        <v>7134.77</v>
      </c>
      <c r="X5" s="7">
        <v>0.74470000000000003</v>
      </c>
    </row>
    <row r="6" spans="1:24" ht="15.9" customHeight="1" x14ac:dyDescent="0.3">
      <c r="A6" s="168"/>
      <c r="B6" s="20" t="s">
        <v>285</v>
      </c>
      <c r="C6" s="14">
        <f>W229</f>
        <v>14412.27</v>
      </c>
      <c r="D6" s="14">
        <f>W230</f>
        <v>12990.65</v>
      </c>
      <c r="E6" s="25">
        <f>W231</f>
        <v>2965.1</v>
      </c>
      <c r="F6" s="45">
        <f>(($C6-$E6)/($C$4-$E$4))*100</f>
        <v>490.75985835183957</v>
      </c>
      <c r="G6" s="42">
        <f>((D6-$E6)/($D$4-$E$4))*100</f>
        <v>514.157136263398</v>
      </c>
      <c r="H6" s="65">
        <f>$X$231*100</f>
        <v>66.510000000000005</v>
      </c>
      <c r="I6" s="171"/>
      <c r="J6" s="56"/>
      <c r="K6" s="56"/>
      <c r="L6" s="56"/>
      <c r="M6" s="51"/>
      <c r="N6" s="50"/>
      <c r="O6" s="51"/>
      <c r="P6" s="70"/>
      <c r="V6" t="s">
        <v>6</v>
      </c>
      <c r="W6" s="21">
        <v>3584</v>
      </c>
      <c r="X6" s="7">
        <v>0.74039999999999995</v>
      </c>
    </row>
    <row r="7" spans="1:24" ht="15.9" customHeight="1" x14ac:dyDescent="0.3">
      <c r="A7" s="172"/>
      <c r="B7" s="15"/>
      <c r="C7" s="17"/>
      <c r="D7" s="17"/>
      <c r="E7" s="26"/>
      <c r="F7" s="35"/>
      <c r="G7" s="39"/>
      <c r="H7" s="63"/>
      <c r="I7" s="175" t="str">
        <f>'Starting Concentrations'!$A$5</f>
        <v>2,4-BPS</v>
      </c>
      <c r="J7" s="15">
        <f>('Starting Concentrations'!$B$5)</f>
        <v>205</v>
      </c>
      <c r="K7" s="17">
        <f>W100</f>
        <v>5774.1</v>
      </c>
      <c r="L7" s="17">
        <f>W101</f>
        <v>5548.1</v>
      </c>
      <c r="M7" s="26">
        <f>W102</f>
        <v>3657.68</v>
      </c>
      <c r="N7" s="35">
        <f>IF('Starting Concentrations'!$C$5="DMSO",(($K7-$M7)/($C$4-$E$4))*100,(($K7-$M7)/($C$3-$E$3))*100)</f>
        <v>90.734564037487047</v>
      </c>
      <c r="O7" s="39">
        <f>IF('Starting Concentrations'!$C$5="DMSO",(($L7-$M7)/($D$4-$E$4))*100,(($L7-$M7)/($D$3-$E$3))*100)</f>
        <v>96.949587158315836</v>
      </c>
      <c r="P7" s="71">
        <f>$X$102*100</f>
        <v>59.12</v>
      </c>
      <c r="V7" t="s">
        <v>7</v>
      </c>
      <c r="W7" s="21">
        <v>5654.92</v>
      </c>
      <c r="X7" s="7">
        <v>0.87829999999999997</v>
      </c>
    </row>
    <row r="8" spans="1:24" ht="15.9" customHeight="1" x14ac:dyDescent="0.3">
      <c r="A8" s="173"/>
      <c r="B8" s="2"/>
      <c r="C8" s="12"/>
      <c r="D8" s="12"/>
      <c r="E8" s="27"/>
      <c r="F8" s="36"/>
      <c r="G8" s="40"/>
      <c r="H8" s="64"/>
      <c r="I8" s="176"/>
      <c r="J8" s="2">
        <f>J7/1.2</f>
        <v>170.83333333333334</v>
      </c>
      <c r="K8" s="12">
        <f>W103</f>
        <v>6318.78</v>
      </c>
      <c r="L8" s="12">
        <f>W104</f>
        <v>6086.33</v>
      </c>
      <c r="M8" s="27">
        <f>W105</f>
        <v>3775.45</v>
      </c>
      <c r="N8" s="36">
        <f>IF('Starting Concentrations'!$C$5="DMSO",(($K8-$M8)/($C$4-$E$4))*100,(($K8-$M8)/($C$3-$E$3))*100)</f>
        <v>109.03692969895475</v>
      </c>
      <c r="O8" s="40">
        <f>IF('Starting Concentrations'!$C$5="DMSO",(($L8-$M8)/($D$4-$E$4))*100,(($L8-$M8)/($D$3-$E$3))*100)</f>
        <v>118.51274424329452</v>
      </c>
      <c r="P8" s="72">
        <f>$X$105*100</f>
        <v>70.320000000000007</v>
      </c>
      <c r="V8" t="s">
        <v>8</v>
      </c>
      <c r="W8" s="21">
        <v>6312.9</v>
      </c>
      <c r="X8" s="7">
        <v>0.86170000000000002</v>
      </c>
    </row>
    <row r="9" spans="1:24" ht="15.9" customHeight="1" x14ac:dyDescent="0.3">
      <c r="A9" s="173"/>
      <c r="B9" s="2"/>
      <c r="C9" s="12"/>
      <c r="D9" s="12"/>
      <c r="E9" s="27"/>
      <c r="F9" s="36"/>
      <c r="G9" s="40"/>
      <c r="H9" s="64"/>
      <c r="I9" s="176"/>
      <c r="J9" s="2">
        <f t="shared" ref="J9:J14" si="0">J8/1.2</f>
        <v>142.36111111111111</v>
      </c>
      <c r="K9" s="12">
        <f>W106</f>
        <v>6251</v>
      </c>
      <c r="L9" s="12">
        <f>W107</f>
        <v>6633.63</v>
      </c>
      <c r="M9" s="27">
        <f>W108</f>
        <v>3647.56</v>
      </c>
      <c r="N9" s="36">
        <f>IF('Starting Concentrations'!$C$5="DMSO",(($K9-$M9)/($C$4-$E$4))*100,(($K9-$M9)/($C$3-$E$3))*100)</f>
        <v>111.61394874257246</v>
      </c>
      <c r="O9" s="40">
        <f>IF('Starting Concentrations'!$C$5="DMSO",(($L9-$M9)/($D$4-$E$4))*100,(($L9-$M9)/($D$3-$E$3))*100)</f>
        <v>153.13964818708652</v>
      </c>
      <c r="P9" s="72">
        <f>$X$108*100</f>
        <v>80.42</v>
      </c>
      <c r="V9" t="s">
        <v>9</v>
      </c>
      <c r="W9" s="21">
        <v>3461.35</v>
      </c>
      <c r="X9" s="7">
        <v>0.87409999999999999</v>
      </c>
    </row>
    <row r="10" spans="1:24" ht="15.9" customHeight="1" x14ac:dyDescent="0.3">
      <c r="A10" s="173"/>
      <c r="B10" s="2"/>
      <c r="C10" s="12"/>
      <c r="D10" s="12"/>
      <c r="E10" s="27"/>
      <c r="F10" s="36"/>
      <c r="G10" s="40"/>
      <c r="H10" s="64"/>
      <c r="I10" s="176"/>
      <c r="J10" s="2">
        <f t="shared" si="0"/>
        <v>118.63425925925927</v>
      </c>
      <c r="K10" s="12">
        <f>W109</f>
        <v>6129.74</v>
      </c>
      <c r="L10" s="12">
        <f>W110</f>
        <v>6446.45</v>
      </c>
      <c r="M10" s="27">
        <f>W111</f>
        <v>3628.33</v>
      </c>
      <c r="N10" s="36">
        <f>IF('Starting Concentrations'!$C$5="DMSO",(($K10-$M10)/($C$4-$E$4))*100,(($K10-$M10)/($C$3-$E$3))*100)</f>
        <v>107.23974722834333</v>
      </c>
      <c r="O10" s="40">
        <f>IF('Starting Concentrations'!$C$5="DMSO",(($L10-$M10)/($D$4-$E$4))*100,(($L10-$M10)/($D$3-$E$3))*100)</f>
        <v>144.52638596851119</v>
      </c>
      <c r="P10" s="72">
        <f>$X$111*100</f>
        <v>85.54</v>
      </c>
      <c r="V10" t="s">
        <v>10</v>
      </c>
      <c r="W10" s="21">
        <v>5453.78</v>
      </c>
      <c r="X10" s="7">
        <v>0.91420000000000001</v>
      </c>
    </row>
    <row r="11" spans="1:24" ht="15.9" customHeight="1" x14ac:dyDescent="0.3">
      <c r="A11" s="173"/>
      <c r="B11" s="2"/>
      <c r="C11" s="12"/>
      <c r="D11" s="12"/>
      <c r="E11" s="27"/>
      <c r="F11" s="36"/>
      <c r="G11" s="40"/>
      <c r="H11" s="64"/>
      <c r="I11" s="176"/>
      <c r="J11" s="119">
        <f t="shared" si="0"/>
        <v>98.861882716049394</v>
      </c>
      <c r="K11" s="12">
        <f>W112</f>
        <v>5952.92</v>
      </c>
      <c r="L11" s="12">
        <f>W113</f>
        <v>6324.67</v>
      </c>
      <c r="M11" s="27">
        <f>W114</f>
        <v>3519.45</v>
      </c>
      <c r="N11" s="36">
        <f>IF('Starting Concentrations'!$C$5="DMSO",(($K11-$M11)/($C$4-$E$4))*100,(($K11-$M11)/($C$3-$E$3))*100)</f>
        <v>104.32704262306328</v>
      </c>
      <c r="O11" s="40">
        <f>IF('Starting Concentrations'!$C$5="DMSO",(($L11-$M11)/($D$4-$E$4))*100,(($L11-$M11)/($D$3-$E$3))*100)</f>
        <v>143.86481358018361</v>
      </c>
      <c r="P11" s="72">
        <f>$X$114*100</f>
        <v>91.51</v>
      </c>
      <c r="V11" t="s">
        <v>11</v>
      </c>
      <c r="W11" s="21">
        <v>5947.85</v>
      </c>
      <c r="X11" s="7">
        <v>0.91790000000000005</v>
      </c>
    </row>
    <row r="12" spans="1:24" ht="15.9" customHeight="1" x14ac:dyDescent="0.3">
      <c r="A12" s="173"/>
      <c r="B12" s="2"/>
      <c r="C12" s="12"/>
      <c r="D12" s="12"/>
      <c r="E12" s="27"/>
      <c r="F12" s="36"/>
      <c r="G12" s="40"/>
      <c r="H12" s="64"/>
      <c r="I12" s="176"/>
      <c r="J12" s="119">
        <f t="shared" si="0"/>
        <v>82.384902263374499</v>
      </c>
      <c r="K12" s="12">
        <f>W115</f>
        <v>5859.94</v>
      </c>
      <c r="L12" s="12">
        <f>W116</f>
        <v>5808.41</v>
      </c>
      <c r="M12" s="27">
        <f>W117</f>
        <v>3403.18</v>
      </c>
      <c r="N12" s="36">
        <f>IF('Starting Concentrations'!$C$5="DMSO",(($K12-$M12)/($C$4-$E$4))*100,(($K12-$M12)/($C$3-$E$3))*100)</f>
        <v>105.32552496420209</v>
      </c>
      <c r="O12" s="40">
        <f>IF('Starting Concentrations'!$C$5="DMSO",(($L12-$M12)/($D$4-$E$4))*100,(($L12-$M12)/($D$3-$E$3))*100)</f>
        <v>123.35145392071387</v>
      </c>
      <c r="P12" s="72">
        <f>$X$117*100</f>
        <v>93.210000000000008</v>
      </c>
      <c r="V12" t="s">
        <v>12</v>
      </c>
      <c r="W12" s="21">
        <v>3201.88</v>
      </c>
      <c r="X12" s="7">
        <v>0.91590000000000005</v>
      </c>
    </row>
    <row r="13" spans="1:24" ht="15.9" customHeight="1" x14ac:dyDescent="0.3">
      <c r="A13" s="173"/>
      <c r="B13" s="2"/>
      <c r="C13" s="12"/>
      <c r="D13" s="12"/>
      <c r="E13" s="27"/>
      <c r="F13" s="36"/>
      <c r="G13" s="40"/>
      <c r="H13" s="64"/>
      <c r="I13" s="176"/>
      <c r="J13" s="119">
        <f t="shared" si="0"/>
        <v>68.654085219478759</v>
      </c>
      <c r="K13" s="12">
        <f>W118</f>
        <v>5739.33</v>
      </c>
      <c r="L13" s="12">
        <f>W119</f>
        <v>5566.99</v>
      </c>
      <c r="M13" s="27">
        <f>W120</f>
        <v>3300.53</v>
      </c>
      <c r="N13" s="36">
        <f>IF('Starting Concentrations'!$C$5="DMSO",(($K13-$M13)/($C$4-$E$4))*100,(($K13-$M13)/($C$3-$E$3))*100)</f>
        <v>104.55554888662142</v>
      </c>
      <c r="O13" s="40">
        <f>IF('Starting Concentrations'!$C$5="DMSO",(($L13-$M13)/($D$4-$E$4))*100,(($L13-$M13)/($D$3-$E$3))*100)</f>
        <v>116.23467870147184</v>
      </c>
      <c r="P13" s="72">
        <f>$X$120*100</f>
        <v>95.11</v>
      </c>
      <c r="V13" t="s">
        <v>13</v>
      </c>
      <c r="W13" s="21">
        <v>5055.07</v>
      </c>
      <c r="X13" s="7">
        <v>0.94169999999999998</v>
      </c>
    </row>
    <row r="14" spans="1:24" ht="15.9" customHeight="1" x14ac:dyDescent="0.3">
      <c r="A14" s="174"/>
      <c r="B14" s="19"/>
      <c r="C14" s="13"/>
      <c r="D14" s="13"/>
      <c r="E14" s="28"/>
      <c r="F14" s="37"/>
      <c r="G14" s="41"/>
      <c r="H14" s="65"/>
      <c r="I14" s="177"/>
      <c r="J14" s="120">
        <f t="shared" si="0"/>
        <v>57.211737682898971</v>
      </c>
      <c r="K14" s="13">
        <f>W121</f>
        <v>5514.03</v>
      </c>
      <c r="L14" s="13">
        <f>W122</f>
        <v>5297.88</v>
      </c>
      <c r="M14" s="28">
        <f>W123</f>
        <v>3288.46</v>
      </c>
      <c r="N14" s="37">
        <f>IF('Starting Concentrations'!$C$5="DMSO",(($K14-$M14)/($C$4-$E$4))*100,(($K14-$M14)/($C$3-$E$3))*100)</f>
        <v>95.414012192716925</v>
      </c>
      <c r="O14" s="41">
        <f>IF('Starting Concentrations'!$C$5="DMSO",(($L14-$M14)/($D$4-$E$4))*100,(($L14-$M14)/($D$3-$E$3))*100)</f>
        <v>103.05246422893481</v>
      </c>
      <c r="P14" s="73">
        <f>$X$123*100</f>
        <v>95.09</v>
      </c>
      <c r="V14" t="s">
        <v>83</v>
      </c>
      <c r="W14" s="21">
        <v>5374.53</v>
      </c>
      <c r="X14" s="7">
        <v>0.94420000000000004</v>
      </c>
    </row>
    <row r="15" spans="1:24" ht="15.9" customHeight="1" x14ac:dyDescent="0.3">
      <c r="A15" s="172" t="e">
        <f>'Starting Concentrations'!#REF!</f>
        <v>#REF!</v>
      </c>
      <c r="B15" s="125"/>
      <c r="C15" s="144"/>
      <c r="D15" s="144"/>
      <c r="E15" s="145"/>
      <c r="F15" s="43"/>
      <c r="G15" s="44"/>
      <c r="H15" s="128"/>
      <c r="I15" s="175" t="str">
        <f>'Starting Concentrations'!$A$6</f>
        <v>BPF</v>
      </c>
      <c r="J15" s="118">
        <f>('Starting Concentrations'!$B$6)</f>
        <v>69.8</v>
      </c>
      <c r="K15" s="16">
        <f>W124</f>
        <v>3710.12</v>
      </c>
      <c r="L15" s="16">
        <f>W125</f>
        <v>4367.5600000000004</v>
      </c>
      <c r="M15" s="23">
        <f>W126</f>
        <v>2870.22</v>
      </c>
      <c r="N15" s="35">
        <f>IF('Starting Concentrations'!$C$6="DMSO",(($K15-$M15)/($C$4-$E$4))*100,(($K15-$M15)/($C$3-$E$3))*100)</f>
        <v>36.007956991091255</v>
      </c>
      <c r="O15" s="39">
        <f>IF('Starting Concentrations'!$C$6="DMSO",(($L15-$M15)/($D$4-$E$4))*100,(($L15-$M15)/($D$3-$E$3))*100)</f>
        <v>76.79060464639214</v>
      </c>
      <c r="P15" s="63">
        <f>$X$126*100</f>
        <v>59.34</v>
      </c>
      <c r="V15" t="s">
        <v>14</v>
      </c>
      <c r="W15" s="21">
        <v>2923.08</v>
      </c>
      <c r="X15" s="7">
        <v>0.94510000000000005</v>
      </c>
    </row>
    <row r="16" spans="1:24" ht="15.9" customHeight="1" x14ac:dyDescent="0.3">
      <c r="A16" s="173"/>
      <c r="B16" s="129"/>
      <c r="C16" s="146"/>
      <c r="D16" s="146"/>
      <c r="E16" s="147"/>
      <c r="F16" s="132"/>
      <c r="G16" s="133"/>
      <c r="H16" s="134"/>
      <c r="I16" s="176"/>
      <c r="J16" s="119">
        <f>J15/1.2</f>
        <v>58.166666666666664</v>
      </c>
      <c r="K16" s="11">
        <f>W127</f>
        <v>4578.51</v>
      </c>
      <c r="L16" s="11">
        <f>W128</f>
        <v>5779.92</v>
      </c>
      <c r="M16" s="24">
        <f>W129</f>
        <v>3066.26</v>
      </c>
      <c r="N16" s="36">
        <f>IF('Starting Concentrations'!$C$6="DMSO",(($K16-$M16)/($C$4-$E$4))*100,(($K16-$M16)/($C$3-$E$3))*100)</f>
        <v>64.832757423238178</v>
      </c>
      <c r="O16" s="40">
        <f>IF('Starting Concentrations'!$C$6="DMSO",(($L16-$M16)/($D$4-$E$4))*100,(($L16-$M16)/($D$3-$E$3))*100)</f>
        <v>139.16918816349556</v>
      </c>
      <c r="P16" s="64">
        <f>$X$129*100</f>
        <v>76.25</v>
      </c>
      <c r="V16" t="s">
        <v>15</v>
      </c>
      <c r="W16" s="21">
        <v>4929.7299999999996</v>
      </c>
      <c r="X16" s="7">
        <v>0.95130000000000003</v>
      </c>
    </row>
    <row r="17" spans="1:24" ht="15.9" customHeight="1" x14ac:dyDescent="0.3">
      <c r="A17" s="173"/>
      <c r="B17" s="129"/>
      <c r="C17" s="146"/>
      <c r="D17" s="146"/>
      <c r="E17" s="147"/>
      <c r="F17" s="132"/>
      <c r="G17" s="133"/>
      <c r="H17" s="134"/>
      <c r="I17" s="176"/>
      <c r="J17" s="119">
        <f t="shared" ref="J17:J22" si="1">J16/1.2</f>
        <v>48.472222222222221</v>
      </c>
      <c r="K17" s="11">
        <f>W130</f>
        <v>5209.97</v>
      </c>
      <c r="L17" s="11">
        <f>W131</f>
        <v>6014.13</v>
      </c>
      <c r="M17" s="24">
        <f>W132</f>
        <v>3064.71</v>
      </c>
      <c r="N17" s="36">
        <f>IF('Starting Concentrations'!$C$6="DMSO",(($K17-$M17)/($C$4-$E$4))*100,(($K17-$M17)/($C$3-$E$3))*100)</f>
        <v>91.970984420417224</v>
      </c>
      <c r="O17" s="40">
        <f>IF('Starting Concentrations'!$C$6="DMSO",(($L17-$M17)/($D$4-$E$4))*100,(($L17-$M17)/($D$3-$E$3))*100)</f>
        <v>151.26006461869838</v>
      </c>
      <c r="P17" s="64">
        <f>$X$132*100</f>
        <v>85.53</v>
      </c>
      <c r="V17" t="s">
        <v>16</v>
      </c>
      <c r="W17" s="21">
        <v>4894.97</v>
      </c>
      <c r="X17" s="7">
        <v>0.94940000000000002</v>
      </c>
    </row>
    <row r="18" spans="1:24" ht="15.9" customHeight="1" x14ac:dyDescent="0.3">
      <c r="A18" s="173"/>
      <c r="B18" s="129"/>
      <c r="C18" s="146"/>
      <c r="D18" s="146"/>
      <c r="E18" s="147"/>
      <c r="F18" s="132"/>
      <c r="G18" s="133"/>
      <c r="H18" s="134"/>
      <c r="I18" s="176"/>
      <c r="J18" s="119">
        <f t="shared" si="1"/>
        <v>40.393518518518519</v>
      </c>
      <c r="K18" s="11">
        <f>W133</f>
        <v>4905.16</v>
      </c>
      <c r="L18" s="11">
        <f>W134</f>
        <v>6000.19</v>
      </c>
      <c r="M18" s="24">
        <f>W135</f>
        <v>3169.66</v>
      </c>
      <c r="N18" s="36">
        <f>IF('Starting Concentrations'!$C$6="DMSO",(($K18-$M18)/($C$4-$E$4))*100,(($K18-$M18)/($C$3-$E$3))*100)</f>
        <v>74.403868743944358</v>
      </c>
      <c r="O18" s="40">
        <f>IF('Starting Concentrations'!$C$6="DMSO",(($L18-$M18)/($D$4-$E$4))*100,(($L18-$M18)/($D$3-$E$3))*100)</f>
        <v>145.1628288630186</v>
      </c>
      <c r="P18" s="64">
        <f>$X$135*100</f>
        <v>83.04</v>
      </c>
      <c r="V18" t="s">
        <v>17</v>
      </c>
      <c r="W18" s="21">
        <v>2651.11</v>
      </c>
      <c r="X18" s="7">
        <v>0.95489999999999997</v>
      </c>
    </row>
    <row r="19" spans="1:24" ht="15.9" customHeight="1" x14ac:dyDescent="0.3">
      <c r="A19" s="173"/>
      <c r="B19" s="129"/>
      <c r="C19" s="146"/>
      <c r="D19" s="146"/>
      <c r="E19" s="147"/>
      <c r="F19" s="132"/>
      <c r="G19" s="133"/>
      <c r="H19" s="134"/>
      <c r="I19" s="176"/>
      <c r="J19" s="119">
        <f t="shared" si="1"/>
        <v>33.661265432098766</v>
      </c>
      <c r="K19" s="11">
        <f>W136</f>
        <v>5171.41</v>
      </c>
      <c r="L19" s="11">
        <f>W137</f>
        <v>5177.8999999999996</v>
      </c>
      <c r="M19" s="24">
        <f>W138</f>
        <v>2997.84</v>
      </c>
      <c r="N19" s="36">
        <f>IF('Starting Concentrations'!$C$6="DMSO",(($K19-$M19)/($C$4-$E$4))*100,(($K19-$M19)/($C$3-$E$3))*100)</f>
        <v>93.184682792149303</v>
      </c>
      <c r="O19" s="40">
        <f>IF('Starting Concentrations'!$C$6="DMSO",(($L19-$M19)/($D$4-$E$4))*100,(($L19-$M19)/($D$3-$E$3))*100)</f>
        <v>111.80368224011485</v>
      </c>
      <c r="P19" s="64">
        <f>$X$138*100</f>
        <v>93.22</v>
      </c>
      <c r="V19" t="s">
        <v>18</v>
      </c>
      <c r="W19" s="21">
        <v>4740.03</v>
      </c>
      <c r="X19" s="7">
        <v>0.95789999999999997</v>
      </c>
    </row>
    <row r="20" spans="1:24" ht="15.9" customHeight="1" x14ac:dyDescent="0.3">
      <c r="A20" s="173"/>
      <c r="B20" s="129"/>
      <c r="C20" s="146"/>
      <c r="D20" s="146"/>
      <c r="E20" s="147"/>
      <c r="F20" s="132"/>
      <c r="G20" s="133"/>
      <c r="H20" s="134"/>
      <c r="I20" s="176"/>
      <c r="J20" s="119">
        <f t="shared" si="1"/>
        <v>28.051054526748974</v>
      </c>
      <c r="K20" s="11">
        <f>W139</f>
        <v>5209.33</v>
      </c>
      <c r="L20" s="11">
        <f>W140</f>
        <v>4973.3100000000004</v>
      </c>
      <c r="M20" s="24">
        <f>W141</f>
        <v>2949.33</v>
      </c>
      <c r="N20" s="36">
        <f>IF('Starting Concentrations'!$C$6="DMSO",(($K20-$M20)/($C$4-$E$4))*100,(($K20-$M20)/($C$3-$E$3))*100)</f>
        <v>96.89008548620815</v>
      </c>
      <c r="O20" s="40">
        <f>IF('Starting Concentrations'!$C$6="DMSO",(($L20-$M20)/($D$4-$E$4))*100,(($L20-$M20)/($D$3-$E$3))*100)</f>
        <v>103.79916918816352</v>
      </c>
      <c r="P20" s="64">
        <f>$X$141*100</f>
        <v>93.8</v>
      </c>
      <c r="V20" t="s">
        <v>19</v>
      </c>
      <c r="W20" s="21">
        <v>4586.83</v>
      </c>
      <c r="X20" s="7">
        <v>0.95469999999999999</v>
      </c>
    </row>
    <row r="21" spans="1:24" ht="15.9" customHeight="1" x14ac:dyDescent="0.3">
      <c r="A21" s="173"/>
      <c r="B21" s="129"/>
      <c r="C21" s="146"/>
      <c r="D21" s="146"/>
      <c r="E21" s="147"/>
      <c r="F21" s="132"/>
      <c r="G21" s="133"/>
      <c r="H21" s="134"/>
      <c r="I21" s="176"/>
      <c r="J21" s="119">
        <f t="shared" si="1"/>
        <v>23.375878772290811</v>
      </c>
      <c r="K21" s="11">
        <f>W142</f>
        <v>5192.41</v>
      </c>
      <c r="L21" s="11">
        <f>W143</f>
        <v>4971.0600000000004</v>
      </c>
      <c r="M21" s="24">
        <f>W144</f>
        <v>2789.05</v>
      </c>
      <c r="N21" s="36">
        <f>IF('Starting Concentrations'!$C$6="DMSO",(($K21-$M21)/($C$4-$E$4))*100,(($K21-$M21)/($C$3-$E$3))*100)</f>
        <v>103.0361751566961</v>
      </c>
      <c r="O21" s="40">
        <f>IF('Starting Concentrations'!$C$6="DMSO",(($L21-$M21)/($D$4-$E$4))*100,(($L21-$M21)/($D$3-$E$3))*100)</f>
        <v>111.90368736858301</v>
      </c>
      <c r="P21" s="64">
        <f>$X$144*100</f>
        <v>95.72</v>
      </c>
      <c r="V21" t="s">
        <v>20</v>
      </c>
      <c r="W21" s="21">
        <v>2429.84</v>
      </c>
      <c r="X21" s="7">
        <v>0.95469999999999999</v>
      </c>
    </row>
    <row r="22" spans="1:24" ht="15.9" customHeight="1" x14ac:dyDescent="0.3">
      <c r="A22" s="174"/>
      <c r="B22" s="135"/>
      <c r="C22" s="148"/>
      <c r="D22" s="148"/>
      <c r="E22" s="149"/>
      <c r="F22" s="138"/>
      <c r="G22" s="139"/>
      <c r="H22" s="140"/>
      <c r="I22" s="177"/>
      <c r="J22" s="120">
        <f t="shared" si="1"/>
        <v>19.479898976909009</v>
      </c>
      <c r="K22" s="14">
        <f>W145</f>
        <v>4762.68</v>
      </c>
      <c r="L22" s="14">
        <f>W146</f>
        <v>4929.32</v>
      </c>
      <c r="M22" s="25">
        <f>W147</f>
        <v>2692.48</v>
      </c>
      <c r="N22" s="37">
        <f>IF('Starting Concentrations'!$C$6="DMSO",(($K22-$M22)/($C$4-$E$4))*100,(($K22-$M22)/($C$3-$E$3))*100)</f>
        <v>88.753033174136348</v>
      </c>
      <c r="O22" s="41">
        <f>IF('Starting Concentrations'!$C$6="DMSO",(($L22-$M22)/($D$4-$E$4))*100,(($L22-$M22)/($D$3-$E$3))*100)</f>
        <v>114.71562644238165</v>
      </c>
      <c r="P22" s="65">
        <f>$X$147*100</f>
        <v>95.289999999999992</v>
      </c>
      <c r="V22" t="s">
        <v>21</v>
      </c>
      <c r="W22" s="21">
        <v>4481.04</v>
      </c>
      <c r="X22" s="7">
        <v>0.9647</v>
      </c>
    </row>
    <row r="23" spans="1:24" ht="15.9" customHeight="1" x14ac:dyDescent="0.3">
      <c r="A23" s="172" t="str">
        <f>'Starting Concentrations'!$A$2</f>
        <v>BPA</v>
      </c>
      <c r="B23" s="118">
        <f>('Starting Concentrations'!$B$2)</f>
        <v>43</v>
      </c>
      <c r="C23" s="16">
        <f>W28</f>
        <v>5281.44</v>
      </c>
      <c r="D23" s="16">
        <f>W29</f>
        <v>6449.51</v>
      </c>
      <c r="E23" s="23">
        <f>W30</f>
        <v>3015.82</v>
      </c>
      <c r="F23" s="35">
        <f>IF('Starting Concentrations'!$C$2="DMSO",(($C23-$E23)/($C$4-$E$4))*100,(($C23-$E23)/($C$3-$E$3))*100)</f>
        <v>97.131024548346403</v>
      </c>
      <c r="G23" s="39">
        <f>IF('Starting Concentrations'!$C$2="DMSO",(($D23-$E23)/($D$4-$E$4))*100,(($D23-$E23)/($D$3-$E$3))*100)</f>
        <v>176.09569721524181</v>
      </c>
      <c r="H23" s="63">
        <f>$X$30*100</f>
        <v>50.77</v>
      </c>
      <c r="I23" s="175" t="str">
        <f>'Starting Concentrations'!$A$7</f>
        <v>BPB</v>
      </c>
      <c r="J23" s="118">
        <f>('Starting Concentrations'!$B$7)</f>
        <v>38.9</v>
      </c>
      <c r="K23" s="16">
        <f>W148</f>
        <v>4701.82</v>
      </c>
      <c r="L23" s="16">
        <f>W149</f>
        <v>6690.28</v>
      </c>
      <c r="M23" s="23">
        <f>W150</f>
        <v>2887.35</v>
      </c>
      <c r="N23" s="35">
        <f>IF('Starting Concentrations'!$C$7="DMSO",(($K23-$M23)/($C$4-$E$4))*100,(($K23-$M23)/($C$3-$E$3))*100)</f>
        <v>77.789448412460217</v>
      </c>
      <c r="O23" s="39">
        <f>IF('Starting Concentrations'!$C$7="DMSO",(($L23-$M23)/($D$4-$E$4))*100,(($L23-$M23)/($D$3-$E$3))*100)</f>
        <v>195.03205292579105</v>
      </c>
      <c r="P23" s="63">
        <f>$X$150*100</f>
        <v>21.63</v>
      </c>
      <c r="V23" t="s">
        <v>22</v>
      </c>
      <c r="W23" s="21">
        <v>4391.6400000000003</v>
      </c>
      <c r="X23" s="7">
        <v>0.96479999999999999</v>
      </c>
    </row>
    <row r="24" spans="1:24" ht="15.9" customHeight="1" x14ac:dyDescent="0.3">
      <c r="A24" s="173"/>
      <c r="B24" s="119">
        <f>B23/1.2</f>
        <v>35.833333333333336</v>
      </c>
      <c r="C24" s="11">
        <f>W31</f>
        <v>5959.39</v>
      </c>
      <c r="D24" s="11">
        <f>W32</f>
        <v>7293.29</v>
      </c>
      <c r="E24" s="24">
        <f>W33</f>
        <v>3117.48</v>
      </c>
      <c r="F24" s="36">
        <f>IF('Starting Concentrations'!$C$2="DMSO",(($C24-$E24)/($C$4-$E$4))*100,(($C24-$E24)/($C$3-$E$3))*100)</f>
        <v>121.83756763013709</v>
      </c>
      <c r="G24" s="40">
        <f>IF('Starting Concentrations'!$C$2="DMSO",(($D24-$E24)/($D$4-$E$4))*100,(($D24-$E24)/($D$3-$E$3))*100)</f>
        <v>214.15508487614744</v>
      </c>
      <c r="H24" s="64">
        <f>$X$33*100</f>
        <v>71.84</v>
      </c>
      <c r="I24" s="176"/>
      <c r="J24" s="119">
        <f>J23/1.2</f>
        <v>32.416666666666664</v>
      </c>
      <c r="K24" s="11">
        <f>W151</f>
        <v>5107.0600000000004</v>
      </c>
      <c r="L24" s="11">
        <f>W152</f>
        <v>8183.75</v>
      </c>
      <c r="M24" s="24">
        <f>W153</f>
        <v>2920.19</v>
      </c>
      <c r="N24" s="36">
        <f>IF('Starting Concentrations'!$C$7="DMSO",(($K24-$M24)/($C$4-$E$4))*100,(($K24-$M24)/($C$3-$E$3))*100)</f>
        <v>93.754876658063736</v>
      </c>
      <c r="O24" s="40">
        <f>IF('Starting Concentrations'!$C$7="DMSO",(($L24-$M24)/($D$4-$E$4))*100,(($L24-$M24)/($D$3-$E$3))*100)</f>
        <v>269.93999692291908</v>
      </c>
      <c r="P24" s="64">
        <f>$X$153*100</f>
        <v>52.59</v>
      </c>
      <c r="V24" t="s">
        <v>23</v>
      </c>
      <c r="W24" s="21">
        <v>2347.2800000000002</v>
      </c>
      <c r="X24" s="7">
        <v>0.96389999999999998</v>
      </c>
    </row>
    <row r="25" spans="1:24" ht="15.9" customHeight="1" x14ac:dyDescent="0.3">
      <c r="A25" s="173"/>
      <c r="B25" s="119">
        <f t="shared" ref="B25:B30" si="2">B24/1.2</f>
        <v>29.861111111111114</v>
      </c>
      <c r="C25" s="11">
        <f>W34</f>
        <v>6300.8</v>
      </c>
      <c r="D25" s="11">
        <f>W35</f>
        <v>7398.47</v>
      </c>
      <c r="E25" s="24">
        <f>W36</f>
        <v>3122.57</v>
      </c>
      <c r="F25" s="36">
        <f>IF('Starting Concentrations'!$C$2="DMSO",(($C25-$E25)/($C$4-$E$4))*100,(($C25-$E25)/($C$3-$E$3))*100)</f>
        <v>136.25618424550058</v>
      </c>
      <c r="G25" s="40">
        <f>IF('Starting Concentrations'!$C$2="DMSO",(($D25-$E25)/($D$4-$E$4))*100,(($D25-$E25)/($D$3-$E$3))*100)</f>
        <v>219.28816862403195</v>
      </c>
      <c r="H25" s="64">
        <f>$X$36*100</f>
        <v>76.739999999999995</v>
      </c>
      <c r="I25" s="176"/>
      <c r="J25" s="119">
        <f t="shared" ref="J25:J30" si="3">J24/1.2</f>
        <v>27.013888888888889</v>
      </c>
      <c r="K25" s="11">
        <f>W154</f>
        <v>6255.27</v>
      </c>
      <c r="L25" s="11">
        <f>W155</f>
        <v>7570.81</v>
      </c>
      <c r="M25" s="24">
        <f>W156</f>
        <v>3494.51</v>
      </c>
      <c r="N25" s="36">
        <f>IF('Starting Concentrations'!$C$7="DMSO",(($K25-$M25)/($C$4-$E$4))*100,(($K25-$M25)/($C$3-$E$3))*100)</f>
        <v>118.35852761367435</v>
      </c>
      <c r="O25" s="40">
        <f>IF('Starting Concentrations'!$C$7="DMSO",(($L25-$M25)/($D$4-$E$4))*100,(($L25-$M25)/($D$3-$E$3))*100)</f>
        <v>209.05174624339708</v>
      </c>
      <c r="P25" s="64">
        <f>$X$156*100</f>
        <v>73.33</v>
      </c>
      <c r="V25" t="s">
        <v>24</v>
      </c>
      <c r="W25" s="21">
        <v>4345.8500000000004</v>
      </c>
      <c r="X25" s="7">
        <v>0.96199999999999997</v>
      </c>
    </row>
    <row r="26" spans="1:24" ht="15.9" customHeight="1" x14ac:dyDescent="0.3">
      <c r="A26" s="173"/>
      <c r="B26" s="119">
        <f t="shared" si="2"/>
        <v>24.884259259259263</v>
      </c>
      <c r="C26" s="11">
        <f>W37</f>
        <v>6323.38</v>
      </c>
      <c r="D26" s="11">
        <f>W38</f>
        <v>6934.27</v>
      </c>
      <c r="E26" s="24">
        <f>W39</f>
        <v>3110.15</v>
      </c>
      <c r="F26" s="36">
        <f>IF('Starting Concentrations'!$C$2="DMSO",(($C26-$E26)/($C$4-$E$4))*100,(($C26-$E26)/($C$3-$E$3))*100)</f>
        <v>137.75669441895957</v>
      </c>
      <c r="G26" s="40">
        <f>IF('Starting Concentrations'!$C$2="DMSO",(($D26-$E26)/($D$4-$E$4))*100,(($D26-$E26)/($D$3-$E$3))*100)</f>
        <v>196.1187753218114</v>
      </c>
      <c r="H26" s="64">
        <f>$X$39*100</f>
        <v>79.61</v>
      </c>
      <c r="I26" s="176"/>
      <c r="J26" s="119">
        <f t="shared" si="3"/>
        <v>22.511574074074076</v>
      </c>
      <c r="K26" s="11">
        <f>W157</f>
        <v>6341.76</v>
      </c>
      <c r="L26" s="11">
        <f>W158</f>
        <v>6973.51</v>
      </c>
      <c r="M26" s="24">
        <f>W159</f>
        <v>3298.11</v>
      </c>
      <c r="N26" s="36">
        <f>IF('Starting Concentrations'!$C$7="DMSO",(($K26-$M26)/($C$4-$E$4))*100,(($K26-$M26)/($C$3-$E$3))*100)</f>
        <v>130.48650826995464</v>
      </c>
      <c r="O26" s="40">
        <f>IF('Starting Concentrations'!$C$7="DMSO",(($L26-$M26)/($D$4-$E$4))*100,(($L26-$M26)/($D$3-$E$3))*100)</f>
        <v>188.49171752397558</v>
      </c>
      <c r="P26" s="64">
        <f>$X$159*100</f>
        <v>81.81</v>
      </c>
      <c r="V26" t="s">
        <v>84</v>
      </c>
      <c r="W26" s="21">
        <v>4175.8100000000004</v>
      </c>
      <c r="X26" s="7">
        <v>0.96830000000000005</v>
      </c>
    </row>
    <row r="27" spans="1:24" ht="15.9" customHeight="1" x14ac:dyDescent="0.3">
      <c r="A27" s="173"/>
      <c r="B27" s="119">
        <f t="shared" si="2"/>
        <v>20.736882716049386</v>
      </c>
      <c r="C27" s="11">
        <f>W40</f>
        <v>5941.67</v>
      </c>
      <c r="D27" s="11">
        <f>W41</f>
        <v>6174.15</v>
      </c>
      <c r="E27" s="24">
        <f>W42</f>
        <v>2967.02</v>
      </c>
      <c r="F27" s="36">
        <f>IF('Starting Concentrations'!$C$2="DMSO",(($C27-$E27)/($C$4-$E$4))*100,(($C27-$E27)/($C$3-$E$3))*100)</f>
        <v>127.52835964227836</v>
      </c>
      <c r="G27" s="40">
        <f>IF('Starting Concentrations'!$C$2="DMSO",(($D27-$E27)/($D$4-$E$4))*100,(($D27-$E27)/($D$3-$E$3))*100)</f>
        <v>164.47663982768344</v>
      </c>
      <c r="H27" s="64">
        <f>$X$42*100</f>
        <v>83.42</v>
      </c>
      <c r="I27" s="176"/>
      <c r="J27" s="119">
        <f t="shared" si="3"/>
        <v>18.759645061728399</v>
      </c>
      <c r="K27" s="11">
        <f>W160</f>
        <v>6593.62</v>
      </c>
      <c r="L27" s="11">
        <f>W161</f>
        <v>6646.84</v>
      </c>
      <c r="M27" s="24">
        <f>W162</f>
        <v>3361.07</v>
      </c>
      <c r="N27" s="36">
        <f>IF('Starting Concentrations'!$C$7="DMSO",(($K27-$M27)/($C$4-$E$4))*100,(($K27-$M27)/($C$3-$E$3))*100)</f>
        <v>138.58497603470892</v>
      </c>
      <c r="O27" s="40">
        <f>IF('Starting Concentrations'!$C$7="DMSO",(($L27-$M27)/($D$4-$E$4))*100,(($L27-$M27)/($D$3-$E$3))*100)</f>
        <v>168.50966716241857</v>
      </c>
      <c r="P27" s="64">
        <f>$X$162*100</f>
        <v>84.240000000000009</v>
      </c>
      <c r="V27" t="s">
        <v>25</v>
      </c>
      <c r="W27" s="21">
        <v>2335.12</v>
      </c>
      <c r="X27" s="7">
        <v>0.96409999999999996</v>
      </c>
    </row>
    <row r="28" spans="1:24" ht="15.9" customHeight="1" x14ac:dyDescent="0.3">
      <c r="A28" s="173"/>
      <c r="B28" s="119">
        <f t="shared" si="2"/>
        <v>17.280735596707824</v>
      </c>
      <c r="C28" s="11">
        <f>W43</f>
        <v>5838.44</v>
      </c>
      <c r="D28" s="11">
        <f>W44</f>
        <v>5672.94</v>
      </c>
      <c r="E28" s="24">
        <f>W45</f>
        <v>2821.54</v>
      </c>
      <c r="F28" s="36">
        <f>IF('Starting Concentrations'!$C$2="DMSO",(($C28-$E28)/($C$4-$E$4))*100,(($C28-$E28)/($C$3-$E$3))*100)</f>
        <v>129.33968978023952</v>
      </c>
      <c r="G28" s="40">
        <f>IF('Starting Concentrations'!$C$2="DMSO",(($D28-$E28)/($D$4-$E$4))*100,(($D28-$E28)/($D$3-$E$3))*100)</f>
        <v>146.23314016103387</v>
      </c>
      <c r="H28" s="64">
        <f>$X$45*100</f>
        <v>87.79</v>
      </c>
      <c r="I28" s="176"/>
      <c r="J28" s="119">
        <f t="shared" si="3"/>
        <v>15.633037551440333</v>
      </c>
      <c r="K28" s="11">
        <f>W163</f>
        <v>6120.61</v>
      </c>
      <c r="L28" s="11">
        <f>W164</f>
        <v>6061.32</v>
      </c>
      <c r="M28" s="24">
        <f>W165</f>
        <v>3185.81</v>
      </c>
      <c r="N28" s="36">
        <f>IF('Starting Concentrations'!$C$7="DMSO",(($K28-$M28)/($C$4-$E$4))*100,(($K28-$M28)/($C$3-$E$3))*100)</f>
        <v>125.81992163049721</v>
      </c>
      <c r="O28" s="40">
        <f>IF('Starting Concentrations'!$C$7="DMSO",(($L28-$M28)/($D$4-$E$4))*100,(($L28-$M28)/($D$3-$E$3))*100)</f>
        <v>147.46961382635004</v>
      </c>
      <c r="P28" s="64">
        <f>$X$165*100</f>
        <v>84.7</v>
      </c>
      <c r="V28" t="s">
        <v>26</v>
      </c>
      <c r="W28" s="21">
        <v>5281.44</v>
      </c>
      <c r="X28" s="7">
        <v>0.5212</v>
      </c>
    </row>
    <row r="29" spans="1:24" ht="15.9" customHeight="1" x14ac:dyDescent="0.3">
      <c r="A29" s="173"/>
      <c r="B29" s="119">
        <f t="shared" si="2"/>
        <v>14.400612997256522</v>
      </c>
      <c r="C29" s="11">
        <f>W46</f>
        <v>5571.31</v>
      </c>
      <c r="D29" s="11">
        <f>W47</f>
        <v>5359.63</v>
      </c>
      <c r="E29" s="24">
        <f>W48</f>
        <v>2730.43</v>
      </c>
      <c r="F29" s="36">
        <f>IF('Starting Concentrations'!$C$2="DMSO",(($C29-$E29)/($C$4-$E$4))*100,(($C29-$E29)/($C$3-$E$3))*100)</f>
        <v>121.79340975931817</v>
      </c>
      <c r="G29" s="40">
        <f>IF('Starting Concentrations'!$C$2="DMSO",(($D29-$E29)/($D$4-$E$4))*100,(($D29-$E29)/($D$3-$E$3))*100)</f>
        <v>134.83768398379405</v>
      </c>
      <c r="H29" s="64">
        <f>$X$48*100</f>
        <v>91.73</v>
      </c>
      <c r="I29" s="176"/>
      <c r="J29" s="119">
        <f t="shared" si="3"/>
        <v>13.027531292866945</v>
      </c>
      <c r="K29" s="11">
        <f>W166</f>
        <v>5900.29</v>
      </c>
      <c r="L29" s="11">
        <f>W167</f>
        <v>5734.57</v>
      </c>
      <c r="M29" s="24">
        <f>W168</f>
        <v>2983.89</v>
      </c>
      <c r="N29" s="36">
        <f>IF('Starting Concentrations'!$C$7="DMSO",(($K29-$M29)/($C$4-$E$4))*100,(($K29-$M29)/($C$3-$E$3))*100)</f>
        <v>125.03108199645021</v>
      </c>
      <c r="O29" s="40">
        <f>IF('Starting Concentrations'!$C$7="DMSO",(($L29-$M29)/($D$4-$E$4))*100,(($L29-$M29)/($D$3-$E$3))*100)</f>
        <v>141.06774706395197</v>
      </c>
      <c r="P29" s="64">
        <f>$X$168*100</f>
        <v>86.850000000000009</v>
      </c>
      <c r="V29" t="s">
        <v>27</v>
      </c>
      <c r="W29" s="21">
        <v>6449.51</v>
      </c>
      <c r="X29" s="7">
        <v>0.51690000000000003</v>
      </c>
    </row>
    <row r="30" spans="1:24" ht="15.9" customHeight="1" x14ac:dyDescent="0.3">
      <c r="A30" s="174"/>
      <c r="B30" s="120">
        <f t="shared" si="2"/>
        <v>12.000510831047102</v>
      </c>
      <c r="C30" s="14">
        <f>W49</f>
        <v>5210.67</v>
      </c>
      <c r="D30" s="14">
        <f>W50</f>
        <v>4941.08</v>
      </c>
      <c r="E30" s="25">
        <f>W51</f>
        <v>2575.4299999999998</v>
      </c>
      <c r="F30" s="37">
        <f>IF('Starting Concentrations'!$C$2="DMSO",(($C30-$E30)/($C$4-$E$4))*100,(($C30-$E30)/($C$3-$E$3))*100)</f>
        <v>112.97726941445805</v>
      </c>
      <c r="G30" s="41">
        <f>IF('Starting Concentrations'!$C$2="DMSO",(($D30-$E30)/($D$4-$E$4))*100,(($D30-$E30)/($D$3-$E$3))*100)</f>
        <v>121.32160623621724</v>
      </c>
      <c r="H30" s="65">
        <f>$X$51*100</f>
        <v>93.899999999999991</v>
      </c>
      <c r="I30" s="177"/>
      <c r="J30" s="120">
        <f t="shared" si="3"/>
        <v>10.85627607738912</v>
      </c>
      <c r="K30" s="14">
        <f>W169</f>
        <v>5793.34</v>
      </c>
      <c r="L30" s="14">
        <f>W170</f>
        <v>5951.14</v>
      </c>
      <c r="M30" s="25">
        <f>W171</f>
        <v>2944.01</v>
      </c>
      <c r="N30" s="37">
        <f>IF('Starting Concentrations'!$C$7="DMSO",(($K30-$M30)/($C$4-$E$4))*100,(($K30-$M30)/($C$3-$E$3))*100)</f>
        <v>122.15567578691038</v>
      </c>
      <c r="O30" s="41">
        <f>IF('Starting Concentrations'!$C$7="DMSO",(($L30-$M30)/($D$4-$E$4))*100,(($L30-$M30)/($D$3-$E$3))*100)</f>
        <v>154.21970357454228</v>
      </c>
      <c r="P30" s="65">
        <f>$X$171*100</f>
        <v>87</v>
      </c>
      <c r="V30" t="s">
        <v>28</v>
      </c>
      <c r="W30" s="21">
        <v>3015.82</v>
      </c>
      <c r="X30" s="7">
        <v>0.50770000000000004</v>
      </c>
    </row>
    <row r="31" spans="1:24" ht="15.9" customHeight="1" x14ac:dyDescent="0.3">
      <c r="A31" s="172" t="str">
        <f>'Starting Concentrations'!$A$3</f>
        <v>BPAF</v>
      </c>
      <c r="B31" s="118">
        <f>('Starting Concentrations'!$B$3)</f>
        <v>22.6</v>
      </c>
      <c r="C31" s="16">
        <f>W52</f>
        <v>7321.19</v>
      </c>
      <c r="D31" s="16">
        <f>W53</f>
        <v>11431.8</v>
      </c>
      <c r="E31" s="23">
        <f>W54</f>
        <v>3161.45</v>
      </c>
      <c r="F31" s="35">
        <f>IF('Starting Concentrations'!$C$3="DMSO",(($C31-$E31)/($C$4-$E$4))*100,(($C31-$E31)/($C$3-$E$3))*100)</f>
        <v>178.33520539840683</v>
      </c>
      <c r="G31" s="39">
        <f>IF('Starting Concentrations'!$C$3="DMSO",(($D31-$E31)/($D$4-$E$4))*100,(($D31-$E31)/($D$3-$E$3))*100)</f>
        <v>424.142263705831</v>
      </c>
      <c r="H31" s="63">
        <f>$X$54*100</f>
        <v>50.09</v>
      </c>
      <c r="I31" s="175" t="str">
        <f>'Starting Concentrations'!$A$8</f>
        <v>BPAP</v>
      </c>
      <c r="J31" s="118">
        <f>('Starting Concentrations'!$B$8)</f>
        <v>24.6</v>
      </c>
      <c r="K31" s="16">
        <f>W172</f>
        <v>5627.78</v>
      </c>
      <c r="L31" s="16">
        <f>W173</f>
        <v>11017.98</v>
      </c>
      <c r="M31" s="23">
        <f>W174</f>
        <v>3317.91</v>
      </c>
      <c r="N31" s="35">
        <f>IF('Starting Concentrations'!$C$8="DMSO",(($K31-$M31)/($C$4-$E$4))*100,(($K31-$M31)/($C$3-$E$3))*100)</f>
        <v>99.028098124790972</v>
      </c>
      <c r="O31" s="39">
        <f>IF('Starting Concentrations'!$C$8="DMSO",(($L31-$M31)/($D$4-$E$4))*100,(($L31-$M31)/($D$3-$E$3))*100)</f>
        <v>394.89563567362427</v>
      </c>
      <c r="P31" s="63">
        <f>$X$174*100</f>
        <v>41.63</v>
      </c>
      <c r="V31" t="s">
        <v>29</v>
      </c>
      <c r="W31" s="21">
        <v>5959.39</v>
      </c>
      <c r="X31" s="7">
        <v>0.71060000000000001</v>
      </c>
    </row>
    <row r="32" spans="1:24" ht="15.9" customHeight="1" x14ac:dyDescent="0.3">
      <c r="A32" s="173"/>
      <c r="B32" s="119">
        <f>B31/1.2</f>
        <v>18.833333333333336</v>
      </c>
      <c r="C32" s="11">
        <f>W55</f>
        <v>7764.42</v>
      </c>
      <c r="D32" s="11">
        <f>W56</f>
        <v>8484.2000000000007</v>
      </c>
      <c r="E32" s="24">
        <f>W57</f>
        <v>3375.01</v>
      </c>
      <c r="F32" s="36">
        <f>IF('Starting Concentrations'!$C$3="DMSO",(($C32-$E32)/($C$4-$E$4))*100,(($C32-$E32)/($C$3-$E$3))*100)</f>
        <v>188.18155315664464</v>
      </c>
      <c r="G32" s="40">
        <f>IF('Starting Concentrations'!$C$3="DMSO",(($D32-$E32)/($D$4-$E$4))*100,(($D32-$E32)/($D$3-$E$3))*100)</f>
        <v>262.02318067593211</v>
      </c>
      <c r="H32" s="64">
        <f>$X$57*100</f>
        <v>63.660000000000004</v>
      </c>
      <c r="I32" s="176"/>
      <c r="J32" s="119">
        <f>J31/1.2</f>
        <v>20.500000000000004</v>
      </c>
      <c r="K32" s="11">
        <f>W175</f>
        <v>6477.94</v>
      </c>
      <c r="L32" s="11">
        <f>W176</f>
        <v>9019.5</v>
      </c>
      <c r="M32" s="24">
        <f>W177</f>
        <v>3539.11</v>
      </c>
      <c r="N32" s="36">
        <f>IF('Starting Concentrations'!$C$8="DMSO",(($K32-$M32)/($C$4-$E$4))*100,(($K32-$M32)/($C$3-$E$3))*100)</f>
        <v>125.99269465904118</v>
      </c>
      <c r="O32" s="40">
        <f>IF('Starting Concentrations'!$C$8="DMSO",(($L32-$M32)/($D$4-$E$4))*100,(($L32-$M32)/($D$3-$E$3))*100)</f>
        <v>281.06005436176213</v>
      </c>
      <c r="P32" s="64">
        <f>$X$177*100</f>
        <v>63.79</v>
      </c>
      <c r="V32" t="s">
        <v>30</v>
      </c>
      <c r="W32" s="21">
        <v>7293.29</v>
      </c>
      <c r="X32" s="7">
        <v>0.71260000000000001</v>
      </c>
    </row>
    <row r="33" spans="1:24" ht="15.9" customHeight="1" x14ac:dyDescent="0.3">
      <c r="A33" s="173"/>
      <c r="B33" s="119">
        <f t="shared" ref="B33:B38" si="4">B32/1.2</f>
        <v>15.694444444444446</v>
      </c>
      <c r="C33" s="11">
        <f>W58</f>
        <v>7083.53</v>
      </c>
      <c r="D33" s="11">
        <f>W59</f>
        <v>7317.07</v>
      </c>
      <c r="E33" s="24">
        <f>W60</f>
        <v>3569.05</v>
      </c>
      <c r="F33" s="36">
        <f>IF('Starting Concentrations'!$C$3="DMSO",(($C33-$E33)/($C$4-$E$4))*100,(($C33-$E33)/($C$3-$E$3))*100)</f>
        <v>150.67179984051714</v>
      </c>
      <c r="G33" s="40">
        <f>IF('Starting Concentrations'!$C$3="DMSO",(($D33-$E33)/($D$4-$E$4))*100,(($D33-$E33)/($D$3-$E$3))*100)</f>
        <v>192.21601107749112</v>
      </c>
      <c r="H33" s="64">
        <f>$X$60*100</f>
        <v>68.349999999999994</v>
      </c>
      <c r="I33" s="176"/>
      <c r="J33" s="119">
        <f t="shared" ref="J33:J38" si="5">J32/1.2</f>
        <v>17.083333333333336</v>
      </c>
      <c r="K33" s="11">
        <f>W178</f>
        <v>6178.15</v>
      </c>
      <c r="L33" s="11">
        <f>W179</f>
        <v>7064.49</v>
      </c>
      <c r="M33" s="24">
        <f>W180</f>
        <v>3464.61</v>
      </c>
      <c r="N33" s="36">
        <f>IF('Starting Concentrations'!$C$8="DMSO",(($K33-$M33)/($C$4-$E$4))*100,(($K33-$M33)/($C$3-$E$3))*100)</f>
        <v>116.33412503108195</v>
      </c>
      <c r="O33" s="40">
        <f>IF('Starting Concentrations'!$C$8="DMSO",(($L33-$M33)/($D$4-$E$4))*100,(($L33-$M33)/($D$3-$E$3))*100)</f>
        <v>184.61869839478945</v>
      </c>
      <c r="P33" s="64">
        <f>$X$180*100</f>
        <v>74.009999999999991</v>
      </c>
      <c r="V33" t="s">
        <v>31</v>
      </c>
      <c r="W33" s="21">
        <v>3117.48</v>
      </c>
      <c r="X33" s="7">
        <v>0.71840000000000004</v>
      </c>
    </row>
    <row r="34" spans="1:24" ht="15.9" customHeight="1" x14ac:dyDescent="0.3">
      <c r="A34" s="173"/>
      <c r="B34" s="119">
        <f t="shared" si="4"/>
        <v>13.078703703703706</v>
      </c>
      <c r="C34" s="11">
        <f>W61</f>
        <v>6703.73</v>
      </c>
      <c r="D34" s="11">
        <f>W62</f>
        <v>6935.3</v>
      </c>
      <c r="E34" s="24">
        <f>W63</f>
        <v>3388.45</v>
      </c>
      <c r="F34" s="36">
        <f>IF('Starting Concentrations'!$C$3="DMSO",(($C34-$E34)/($C$4-$E$4))*100,(($C34-$E34)/($C$3-$E$3))*100)</f>
        <v>142.13175336757351</v>
      </c>
      <c r="G34" s="40">
        <f>IF('Starting Concentrations'!$C$3="DMSO",(($D34-$E34)/($D$4-$E$4))*100,(($D34-$E34)/($D$3-$E$3))*100)</f>
        <v>181.89907174726909</v>
      </c>
      <c r="H34" s="64">
        <f>$X$63*100</f>
        <v>75.8</v>
      </c>
      <c r="I34" s="176"/>
      <c r="J34" s="119">
        <f t="shared" si="5"/>
        <v>14.236111111111114</v>
      </c>
      <c r="K34" s="11">
        <f>W181</f>
        <v>5119.6899999999996</v>
      </c>
      <c r="L34" s="11">
        <f>W182</f>
        <v>5911.89</v>
      </c>
      <c r="M34" s="24">
        <f>W183</f>
        <v>2983.07</v>
      </c>
      <c r="N34" s="36">
        <f>IF('Starting Concentrations'!$C$8="DMSO",(($K34-$M34)/($C$4-$E$4))*100,(($K34-$M34)/($C$3-$E$3))*100)</f>
        <v>91.600572766169037</v>
      </c>
      <c r="O34" s="40">
        <f>IF('Starting Concentrations'!$C$8="DMSO",(($L34-$M34)/($D$4-$E$4))*100,(($L34-$M34)/($D$3-$E$3))*100)</f>
        <v>150.20360018462486</v>
      </c>
      <c r="P34" s="64">
        <f>$X$183*100</f>
        <v>87.44</v>
      </c>
      <c r="V34" t="s">
        <v>32</v>
      </c>
      <c r="W34" s="21">
        <v>6300.8</v>
      </c>
      <c r="X34" s="7">
        <v>0.76819999999999999</v>
      </c>
    </row>
    <row r="35" spans="1:24" ht="15.9" customHeight="1" x14ac:dyDescent="0.3">
      <c r="A35" s="173"/>
      <c r="B35" s="119">
        <f t="shared" si="4"/>
        <v>10.898919753086423</v>
      </c>
      <c r="C35" s="11">
        <f>W64</f>
        <v>6621.12</v>
      </c>
      <c r="D35" s="11">
        <f>W65</f>
        <v>6329.96</v>
      </c>
      <c r="E35" s="24">
        <f>W66</f>
        <v>3207.35</v>
      </c>
      <c r="F35" s="36">
        <f>IF('Starting Concentrations'!$C$3="DMSO",(($C35-$E35)/($C$4-$E$4))*100,(($C35-$E35)/($C$3-$E$3))*100)</f>
        <v>146.35418899568708</v>
      </c>
      <c r="G35" s="40">
        <f>IF('Starting Concentrations'!$C$3="DMSO",(($D35-$E35)/($D$4-$E$4))*100,(($D35-$E35)/($D$3-$E$3))*100)</f>
        <v>160.14205856710601</v>
      </c>
      <c r="H35" s="64">
        <f>$X$66*100</f>
        <v>78.759999999999991</v>
      </c>
      <c r="I35" s="176"/>
      <c r="J35" s="119">
        <f t="shared" si="5"/>
        <v>11.863425925925929</v>
      </c>
      <c r="K35" s="11">
        <f>W184</f>
        <v>4882.9799999999996</v>
      </c>
      <c r="L35" s="11">
        <f>W185</f>
        <v>5137.97</v>
      </c>
      <c r="M35" s="24">
        <f>W186</f>
        <v>2736.28</v>
      </c>
      <c r="N35" s="36">
        <f>IF('Starting Concentrations'!$C$8="DMSO",(($K35-$M35)/($C$4-$E$4))*100,(($K35-$M35)/($C$3-$E$3))*100)</f>
        <v>92.032719696125213</v>
      </c>
      <c r="O35" s="40">
        <f>IF('Starting Concentrations'!$C$8="DMSO",(($L35-$M35)/($D$4-$E$4))*100,(($L35-$M35)/($D$3-$E$3))*100)</f>
        <v>123.16990614903327</v>
      </c>
      <c r="P35" s="64">
        <f>$X$186*100</f>
        <v>92.24</v>
      </c>
      <c r="V35" t="s">
        <v>33</v>
      </c>
      <c r="W35" s="21">
        <v>7398.47</v>
      </c>
      <c r="X35" s="7">
        <v>0.77110000000000001</v>
      </c>
    </row>
    <row r="36" spans="1:24" ht="15.9" customHeight="1" x14ac:dyDescent="0.3">
      <c r="A36" s="173"/>
      <c r="B36" s="121">
        <f t="shared" si="4"/>
        <v>9.0824331275720187</v>
      </c>
      <c r="C36" s="11">
        <f>W67</f>
        <v>5944.85</v>
      </c>
      <c r="D36" s="11">
        <f>W68</f>
        <v>5940.95</v>
      </c>
      <c r="E36" s="24">
        <f>W69</f>
        <v>3053.18</v>
      </c>
      <c r="F36" s="36">
        <f>IF('Starting Concentrations'!$C$3="DMSO",(($C36-$E36)/($C$4-$E$4))*100,(($C36-$E36)/($C$3-$E$3))*100)</f>
        <v>123.97086437960334</v>
      </c>
      <c r="G36" s="40">
        <f>IF('Starting Concentrations'!$C$3="DMSO",(($D36-$E36)/($D$4-$E$4))*100,(($D36-$E36)/($D$3-$E$3))*100)</f>
        <v>148.09836401866761</v>
      </c>
      <c r="H36" s="64">
        <f>$X$69*100</f>
        <v>82.28</v>
      </c>
      <c r="I36" s="176"/>
      <c r="J36" s="121">
        <f t="shared" si="5"/>
        <v>9.8861882716049418</v>
      </c>
      <c r="K36" s="11">
        <f>W187</f>
        <v>4680.33</v>
      </c>
      <c r="L36" s="11">
        <f>W188</f>
        <v>5027.62</v>
      </c>
      <c r="M36" s="24">
        <f>W189</f>
        <v>2575.71</v>
      </c>
      <c r="N36" s="36">
        <f>IF('Starting Concentrations'!$C$8="DMSO",(($K36-$M36)/($C$4-$E$4))*100,(($K36-$M36)/($C$3-$E$3))*100)</f>
        <v>90.228677750435125</v>
      </c>
      <c r="O36" s="40">
        <f>IF('Starting Concentrations'!$C$8="DMSO",(($L36-$M36)/($D$4-$E$4))*100,(($L36-$M36)/($D$3-$E$3))*100)</f>
        <v>125.74542284219703</v>
      </c>
      <c r="P36" s="64">
        <f>$X$189*100</f>
        <v>95.240000000000009</v>
      </c>
      <c r="V36" t="s">
        <v>34</v>
      </c>
      <c r="W36" s="21">
        <v>3122.57</v>
      </c>
      <c r="X36" s="7">
        <v>0.76739999999999997</v>
      </c>
    </row>
    <row r="37" spans="1:24" ht="15.9" customHeight="1" x14ac:dyDescent="0.3">
      <c r="A37" s="173"/>
      <c r="B37" s="121">
        <f t="shared" si="4"/>
        <v>7.5686942729766828</v>
      </c>
      <c r="C37" s="11">
        <f>W70</f>
        <v>5483.43</v>
      </c>
      <c r="D37" s="11">
        <f>W71</f>
        <v>5498.44</v>
      </c>
      <c r="E37" s="24">
        <f>W72</f>
        <v>2851.76</v>
      </c>
      <c r="F37" s="36">
        <f>IF('Starting Concentrations'!$C$3="DMSO",(($C37-$E37)/($C$4-$E$4))*100,(($C37-$E37)/($C$3-$E$3))*100)</f>
        <v>112.82421737676522</v>
      </c>
      <c r="G37" s="40">
        <f>IF('Starting Concentrations'!$C$3="DMSO",(($D37-$E37)/($D$4-$E$4))*100,(($D37-$E37)/($D$3-$E$3))*100)</f>
        <v>135.73414021231852</v>
      </c>
      <c r="H37" s="64">
        <f>$X$72*100</f>
        <v>85.32</v>
      </c>
      <c r="I37" s="176"/>
      <c r="J37" s="121">
        <f t="shared" si="5"/>
        <v>8.2384902263374524</v>
      </c>
      <c r="K37" s="11">
        <f>W190</f>
        <v>4490.46</v>
      </c>
      <c r="L37" s="11">
        <f>W191</f>
        <v>3682.78</v>
      </c>
      <c r="M37" s="24">
        <f>W192</f>
        <v>2581.9499999999998</v>
      </c>
      <c r="N37" s="36">
        <f>IF('Starting Concentrations'!$C$8="DMSO",(($K37-$M37)/($C$4-$E$4))*100,(($K37-$M37)/($C$3-$E$3))*100)</f>
        <v>81.821104889948288</v>
      </c>
      <c r="O37" s="40">
        <f>IF('Starting Concentrations'!$C$8="DMSO",(($L37-$M37)/($D$4-$E$4))*100,(($L37-$M37)/($D$3-$E$3))*100)</f>
        <v>56.455715677727078</v>
      </c>
      <c r="P37" s="64">
        <f>$X$192*100</f>
        <v>95.27</v>
      </c>
      <c r="V37" t="s">
        <v>35</v>
      </c>
      <c r="W37" s="21">
        <v>6323.38</v>
      </c>
      <c r="X37" s="7">
        <v>0.78520000000000001</v>
      </c>
    </row>
    <row r="38" spans="1:24" ht="15.9" customHeight="1" x14ac:dyDescent="0.3">
      <c r="A38" s="174"/>
      <c r="B38" s="122">
        <f t="shared" si="4"/>
        <v>6.3072452274805695</v>
      </c>
      <c r="C38" s="20">
        <f>W73</f>
        <v>4998.58</v>
      </c>
      <c r="D38" s="20">
        <f>W74</f>
        <v>5320.88</v>
      </c>
      <c r="E38" s="29">
        <f>W75</f>
        <v>2663.38</v>
      </c>
      <c r="F38" s="37">
        <f>IF('Starting Concentrations'!$C$3="DMSO",(($C38-$E38)/($C$4-$E$4))*100,(($C38-$E38)/($C$3-$E$3))*100)</f>
        <v>100.11403877318286</v>
      </c>
      <c r="G38" s="41">
        <f>IF('Starting Concentrations'!$C$3="DMSO",(($D38-$E38)/($D$4-$E$4))*100,(($D38-$E38)/($D$3-$E$3))*100)</f>
        <v>136.28904046361353</v>
      </c>
      <c r="H38" s="65">
        <f>$X$75*100</f>
        <v>87.21</v>
      </c>
      <c r="I38" s="177"/>
      <c r="J38" s="122">
        <f t="shared" si="5"/>
        <v>6.8654085219478773</v>
      </c>
      <c r="K38" s="20">
        <f>W193</f>
        <v>4304.78</v>
      </c>
      <c r="L38" s="20">
        <f>W194</f>
        <v>4619.17</v>
      </c>
      <c r="M38" s="29">
        <f>W195</f>
        <v>2447.7399999999998</v>
      </c>
      <c r="N38" s="37">
        <f>IF('Starting Concentrations'!$C$8="DMSO",(($K38-$M38)/($C$4-$E$4))*100,(($K38-$M38)/($C$3-$E$3))*100)</f>
        <v>79.61449750057875</v>
      </c>
      <c r="O38" s="41">
        <f>IF('Starting Concentrations'!$C$8="DMSO",(($L38-$M38)/($D$4-$E$4))*100,(($L38-$M38)/($D$3-$E$3))*100)</f>
        <v>111.36109544079184</v>
      </c>
      <c r="P38" s="65">
        <f>$X$195*100</f>
        <v>94.3</v>
      </c>
      <c r="V38" t="s">
        <v>36</v>
      </c>
      <c r="W38" s="21">
        <v>6934.27</v>
      </c>
      <c r="X38" s="7">
        <v>0.7913</v>
      </c>
    </row>
    <row r="39" spans="1:24" ht="15.9" customHeight="1" x14ac:dyDescent="0.3">
      <c r="A39" s="172" t="str">
        <f>'Starting Concentrations'!$A$4</f>
        <v>BPS</v>
      </c>
      <c r="B39" s="15">
        <f>('Starting Concentrations'!$B$4)</f>
        <v>315</v>
      </c>
      <c r="C39" s="16">
        <f>W76</f>
        <v>4788.38</v>
      </c>
      <c r="D39" s="16">
        <f>W77</f>
        <v>4776.04</v>
      </c>
      <c r="E39" s="39">
        <f>W78</f>
        <v>3478.23</v>
      </c>
      <c r="F39" s="35">
        <f>IF('Starting Concentrations'!$C$4="DMSO",(($C39-$E39)/($C$4-$E$4))*100,(($C39-$E39)/($C$3-$E$3))*100)</f>
        <v>56.168382964493638</v>
      </c>
      <c r="G39" s="39">
        <f>IF('Starting Concentrations'!$C$4="DMSO",(($D39-$E39)/($D$4-$E$4))*100,(($D39-$E39)/($D$3-$E$3))*100)</f>
        <v>66.557772193445814</v>
      </c>
      <c r="H39" s="63">
        <f>$X$78*100</f>
        <v>43.169999999999995</v>
      </c>
      <c r="I39" s="175" t="str">
        <f>'Starting Concentrations'!$A$9</f>
        <v>BPE</v>
      </c>
      <c r="J39" s="118">
        <f>('Starting Concentrations'!$B$9)</f>
        <v>79.7</v>
      </c>
      <c r="K39" s="16">
        <f>W196</f>
        <v>4994.79</v>
      </c>
      <c r="L39" s="16">
        <f>W197</f>
        <v>5434.53</v>
      </c>
      <c r="M39" s="39">
        <f>W198</f>
        <v>2872.35</v>
      </c>
      <c r="N39" s="35">
        <f>IF('Starting Concentrations'!$C$9="DMSO",(($K39-$M39)/($C$4-$E$4))*100,(($K39-$M39)/($C$3-$E$3))*100)</f>
        <v>90.992651787321961</v>
      </c>
      <c r="O39" s="39">
        <f>IF('Starting Concentrations'!$C$9="DMSO",(($L39-$M39)/($D$4-$E$4))*100,(($L39-$M39)/($D$3-$E$3))*100)</f>
        <v>131.40058464536642</v>
      </c>
      <c r="P39" s="63">
        <f>$X$198*100</f>
        <v>20.380000000000003</v>
      </c>
      <c r="V39" t="s">
        <v>37</v>
      </c>
      <c r="W39" s="21">
        <v>3110.15</v>
      </c>
      <c r="X39" s="7">
        <v>0.79610000000000003</v>
      </c>
    </row>
    <row r="40" spans="1:24" ht="15.9" customHeight="1" x14ac:dyDescent="0.3">
      <c r="A40" s="173"/>
      <c r="B40" s="2">
        <f>B39/1.2</f>
        <v>262.5</v>
      </c>
      <c r="C40" s="11">
        <f>W79</f>
        <v>4966.18</v>
      </c>
      <c r="D40" s="11">
        <f>W80</f>
        <v>4774</v>
      </c>
      <c r="E40" s="40">
        <f>W81</f>
        <v>3606.9</v>
      </c>
      <c r="F40" s="36">
        <f>IF('Starting Concentrations'!$C$4="DMSO",(($C40-$E40)/($C$4-$E$4))*100,(($C40-$E40)/($C$3-$E$3))*100)</f>
        <v>58.274670530837625</v>
      </c>
      <c r="G40" s="40">
        <f>IF('Starting Concentrations'!$C$4="DMSO",(($D40-$E40)/($D$4-$E$4))*100,(($D40-$E40)/($D$3-$E$3))*100)</f>
        <v>59.854351505205386</v>
      </c>
      <c r="H40" s="64">
        <f>$X$81*100</f>
        <v>58.919999999999995</v>
      </c>
      <c r="I40" s="176"/>
      <c r="J40" s="119">
        <f>J39/1.2</f>
        <v>66.416666666666671</v>
      </c>
      <c r="K40" s="11">
        <f>W199</f>
        <v>4756.67</v>
      </c>
      <c r="L40" s="11">
        <f>W200</f>
        <v>6201.83</v>
      </c>
      <c r="M40" s="40">
        <f>W201</f>
        <v>2750.68</v>
      </c>
      <c r="N40" s="36">
        <f>IF('Starting Concentrations'!$C$9="DMSO",(($K40-$M40)/($C$4-$E$4))*100,(($K40-$M40)/($C$3-$E$3))*100)</f>
        <v>86.000240081627737</v>
      </c>
      <c r="O40" s="40">
        <f>IF('Starting Concentrations'!$C$9="DMSO",(($L40-$M40)/($D$4-$E$4))*100,(($L40-$M40)/($D$3-$E$3))*100)</f>
        <v>176.99112775014103</v>
      </c>
      <c r="P40" s="64">
        <f>$X$201*100</f>
        <v>65.36999999999999</v>
      </c>
      <c r="V40" t="s">
        <v>38</v>
      </c>
      <c r="W40" s="21">
        <v>5941.67</v>
      </c>
      <c r="X40" s="7">
        <v>0.82320000000000004</v>
      </c>
    </row>
    <row r="41" spans="1:24" ht="15.9" customHeight="1" x14ac:dyDescent="0.3">
      <c r="A41" s="173"/>
      <c r="B41" s="2">
        <f t="shared" ref="B41:B46" si="6">B40/1.2</f>
        <v>218.75</v>
      </c>
      <c r="C41" s="11">
        <f>W82</f>
        <v>5262.26</v>
      </c>
      <c r="D41" s="11">
        <f>W83</f>
        <v>4828.3900000000003</v>
      </c>
      <c r="E41" s="40">
        <f>W84</f>
        <v>3610.44</v>
      </c>
      <c r="F41" s="36">
        <f>IF('Starting Concentrations'!$C$4="DMSO",(($C41-$E41)/($C$4-$E$4))*100,(($C41-$E41)/($C$3-$E$3))*100)</f>
        <v>70.816363277800164</v>
      </c>
      <c r="G41" s="40">
        <f>IF('Starting Concentrations'!$C$4="DMSO",(($D41-$E41)/($D$4-$E$4))*100,(($D41-$E41)/($D$3-$E$3))*100)</f>
        <v>62.462177547566554</v>
      </c>
      <c r="H41" s="64">
        <f>$X$84*100</f>
        <v>72.509999999999991</v>
      </c>
      <c r="I41" s="176"/>
      <c r="J41" s="119">
        <f t="shared" ref="J41:J46" si="7">J40/1.2</f>
        <v>55.347222222222229</v>
      </c>
      <c r="K41" s="11">
        <f>W202</f>
        <v>5455.37</v>
      </c>
      <c r="L41" s="11">
        <f>W203</f>
        <v>6869.73</v>
      </c>
      <c r="M41" s="40">
        <f>W204</f>
        <v>2817.37</v>
      </c>
      <c r="N41" s="36">
        <f>IF('Starting Concentrations'!$C$9="DMSO",(($K41-$M41)/($C$4-$E$4))*100,(($K41-$M41)/($C$3-$E$3))*100)</f>
        <v>113.09559535956508</v>
      </c>
      <c r="O41" s="40">
        <f>IF('Starting Concentrations'!$C$9="DMSO",(($L41-$M41)/($D$4-$E$4))*100,(($L41-$M41)/($D$3-$E$3))*100)</f>
        <v>207.82399097389606</v>
      </c>
      <c r="P41" s="64">
        <f>$X$204*100</f>
        <v>75.489999999999995</v>
      </c>
      <c r="V41" t="s">
        <v>39</v>
      </c>
      <c r="W41" s="21">
        <v>6174.15</v>
      </c>
      <c r="X41" s="7">
        <v>0.83350000000000002</v>
      </c>
    </row>
    <row r="42" spans="1:24" ht="15.9" customHeight="1" x14ac:dyDescent="0.3">
      <c r="A42" s="173"/>
      <c r="B42" s="2">
        <f t="shared" si="6"/>
        <v>182.29166666666669</v>
      </c>
      <c r="C42" s="11">
        <f>W85</f>
        <v>5265.01</v>
      </c>
      <c r="D42" s="11">
        <f>W86</f>
        <v>4905.22</v>
      </c>
      <c r="E42" s="40">
        <f>W87</f>
        <v>3492.45</v>
      </c>
      <c r="F42" s="36">
        <f>IF('Starting Concentrations'!$C$4="DMSO",(($C42-$E42)/($C$4-$E$4))*100,(($C42-$E42)/($C$3-$E$3))*100)</f>
        <v>75.99269465904122</v>
      </c>
      <c r="G42" s="40">
        <f>IF('Starting Concentrations'!$C$4="DMSO",(($D42-$E42)/($D$4-$E$4))*100,(($D42-$E42)/($D$3-$E$3))*100)</f>
        <v>72.453459151751389</v>
      </c>
      <c r="H42" s="64">
        <f>$X$87*100</f>
        <v>80.52</v>
      </c>
      <c r="I42" s="176"/>
      <c r="J42" s="119">
        <f t="shared" si="7"/>
        <v>46.12268518518519</v>
      </c>
      <c r="K42" s="11">
        <f>W205</f>
        <v>5609.11</v>
      </c>
      <c r="L42" s="11">
        <f>W206</f>
        <v>6854.56</v>
      </c>
      <c r="M42" s="40">
        <f>W207</f>
        <v>2938.31</v>
      </c>
      <c r="N42" s="36">
        <f>IF('Starting Concentrations'!$C$9="DMSO",(($K42-$M42)/($C$4-$E$4))*100,(($K42-$M42)/($C$3-$E$3))*100)</f>
        <v>114.50178775069236</v>
      </c>
      <c r="O42" s="40">
        <f>IF('Starting Concentrations'!$C$9="DMSO",(($L42-$M42)/($D$4-$E$4))*100,(($L42-$M42)/($D$3-$E$3))*100)</f>
        <v>200.84363300682088</v>
      </c>
      <c r="P42" s="64">
        <f>$X$207*100</f>
        <v>80.569999999999993</v>
      </c>
      <c r="V42" t="s">
        <v>40</v>
      </c>
      <c r="W42" s="21">
        <v>2967.02</v>
      </c>
      <c r="X42" s="7">
        <v>0.83420000000000005</v>
      </c>
    </row>
    <row r="43" spans="1:24" ht="15.9" customHeight="1" x14ac:dyDescent="0.3">
      <c r="A43" s="173"/>
      <c r="B43" s="2">
        <f t="shared" si="6"/>
        <v>151.90972222222226</v>
      </c>
      <c r="C43" s="11">
        <f>W88</f>
        <v>5401.09</v>
      </c>
      <c r="D43" s="11">
        <f>W89</f>
        <v>4921.55</v>
      </c>
      <c r="E43" s="40">
        <f>W90</f>
        <v>3329.56</v>
      </c>
      <c r="F43" s="36">
        <f>IF('Starting Concentrations'!$C$4="DMSO",(($C43-$E43)/($C$4-$E$4))*100,(($C43-$E43)/($C$3-$E$3))*100)</f>
        <v>88.810052560727783</v>
      </c>
      <c r="G43" s="40">
        <f>IF('Starting Concentrations'!$C$4="DMSO",(($D43-$E43)/($D$4-$E$4))*100,(($D43-$E43)/($D$3-$E$3))*100)</f>
        <v>81.644699728191199</v>
      </c>
      <c r="H43" s="64">
        <f>$X$90*100</f>
        <v>87.58</v>
      </c>
      <c r="I43" s="176"/>
      <c r="J43" s="119">
        <f t="shared" si="7"/>
        <v>38.43557098765433</v>
      </c>
      <c r="K43" s="11">
        <f>W208</f>
        <v>5729.61</v>
      </c>
      <c r="L43" s="11">
        <f>W209</f>
        <v>6441.37</v>
      </c>
      <c r="M43" s="40">
        <f>W210</f>
        <v>2963.06</v>
      </c>
      <c r="N43" s="36">
        <f>IF('Starting Concentrations'!$C$9="DMSO",(($K43-$M43)/($C$4-$E$4))*100,(($K43-$M43)/($C$3-$E$3))*100)</f>
        <v>118.6067548680837</v>
      </c>
      <c r="O43" s="40">
        <f>IF('Starting Concentrations'!$C$9="DMSO",(($L43-$M43)/($D$4-$E$4))*100,(($L43-$M43)/($D$3-$E$3))*100)</f>
        <v>178.38401969331758</v>
      </c>
      <c r="P43" s="64">
        <f>$X$210*100</f>
        <v>84.48</v>
      </c>
      <c r="V43" t="s">
        <v>41</v>
      </c>
      <c r="W43" s="21">
        <v>5838.44</v>
      </c>
      <c r="X43" s="7">
        <v>0.86539999999999995</v>
      </c>
    </row>
    <row r="44" spans="1:24" ht="15.9" customHeight="1" x14ac:dyDescent="0.3">
      <c r="A44" s="173"/>
      <c r="B44" s="2">
        <f t="shared" si="6"/>
        <v>126.59143518518522</v>
      </c>
      <c r="C44" s="11">
        <f>W91</f>
        <v>5333.28</v>
      </c>
      <c r="D44" s="11">
        <f>W92</f>
        <v>4858.5</v>
      </c>
      <c r="E44" s="40">
        <f>W93</f>
        <v>3180.82</v>
      </c>
      <c r="F44" s="36">
        <f>IF('Starting Concentrations'!$C$4="DMSO",(($C44-$E44)/($C$4-$E$4))*100,(($C44-$E44)/($C$3-$E$3))*100)</f>
        <v>92.279660798957337</v>
      </c>
      <c r="G44" s="40">
        <f>IF('Starting Concentrations'!$C$4="DMSO",(($D44-$E44)/($D$4-$E$4))*100,(($D44-$E44)/($D$3-$E$3))*100)</f>
        <v>86.039284065849515</v>
      </c>
      <c r="H44" s="64">
        <f>$X$93*100</f>
        <v>89.52</v>
      </c>
      <c r="I44" s="176"/>
      <c r="J44" s="119">
        <f t="shared" si="7"/>
        <v>32.029642489711946</v>
      </c>
      <c r="K44" s="11">
        <f>W211</f>
        <v>5985.64</v>
      </c>
      <c r="L44" s="11">
        <f>W212</f>
        <v>6110.32</v>
      </c>
      <c r="M44" s="40">
        <f>W213</f>
        <v>2986.72</v>
      </c>
      <c r="N44" s="36">
        <f>IF('Starting Concentrations'!$C$9="DMSO",(($K44-$M44)/($C$4-$E$4))*100,(($K44-$M44)/($C$3-$E$3))*100)</f>
        <v>128.56885626827409</v>
      </c>
      <c r="O44" s="40">
        <f>IF('Starting Concentrations'!$C$9="DMSO",(($L44-$M44)/($D$4-$E$4))*100,(($L44-$M44)/($D$3-$E$3))*100)</f>
        <v>160.19283040155904</v>
      </c>
      <c r="P44" s="64">
        <f>$X$213*100</f>
        <v>86.08</v>
      </c>
      <c r="V44" t="s">
        <v>42</v>
      </c>
      <c r="W44" s="21">
        <v>5672.94</v>
      </c>
      <c r="X44" s="7">
        <v>0.87280000000000002</v>
      </c>
    </row>
    <row r="45" spans="1:24" ht="15.9" customHeight="1" x14ac:dyDescent="0.3">
      <c r="A45" s="173"/>
      <c r="B45" s="2">
        <f t="shared" si="6"/>
        <v>105.49286265432102</v>
      </c>
      <c r="C45" s="11">
        <f>W94</f>
        <v>4940.5600000000004</v>
      </c>
      <c r="D45" s="11">
        <f>W95</f>
        <v>4758.09</v>
      </c>
      <c r="E45" s="40">
        <f>W96</f>
        <v>2969.52</v>
      </c>
      <c r="F45" s="36">
        <f>IF('Starting Concentrations'!$C$4="DMSO",(($C45-$E45)/($C$4-$E$4))*100,(($C45-$E45)/($C$3-$E$3))*100)</f>
        <v>84.501873494130862</v>
      </c>
      <c r="G45" s="40">
        <f>IF('Starting Concentrations'!$C$4="DMSO",(($D45-$E45)/($D$4-$E$4))*100,(($D45-$E45)/($D$3-$E$3))*100)</f>
        <v>91.726242371403671</v>
      </c>
      <c r="H45" s="64">
        <f>$X$96*100</f>
        <v>91.85</v>
      </c>
      <c r="I45" s="176"/>
      <c r="J45" s="119">
        <f t="shared" si="7"/>
        <v>26.691368741426622</v>
      </c>
      <c r="K45" s="11">
        <f>W214</f>
        <v>5927.44</v>
      </c>
      <c r="L45" s="11">
        <f>W215</f>
        <v>5863.96</v>
      </c>
      <c r="M45" s="40">
        <f>W216</f>
        <v>2875.71</v>
      </c>
      <c r="N45" s="36">
        <f>IF('Starting Concentrations'!$C$9="DMSO",(($K45-$M45)/($C$4-$E$4))*100,(($K45-$M45)/($C$3-$E$3))*100)</f>
        <v>130.83291176142743</v>
      </c>
      <c r="O45" s="40">
        <f>IF('Starting Concentrations'!$C$9="DMSO",(($L45-$M45)/($D$4-$E$4))*100,(($L45-$M45)/($D$3-$E$3))*100)</f>
        <v>153.25144879224575</v>
      </c>
      <c r="P45" s="64">
        <f>$X$216*100</f>
        <v>87.94</v>
      </c>
      <c r="V45" t="s">
        <v>43</v>
      </c>
      <c r="W45" s="21">
        <v>2821.54</v>
      </c>
      <c r="X45" s="7">
        <v>0.87790000000000001</v>
      </c>
    </row>
    <row r="46" spans="1:24" ht="15.9" customHeight="1" thickBot="1" x14ac:dyDescent="0.35">
      <c r="A46" s="174"/>
      <c r="B46" s="120">
        <f t="shared" si="6"/>
        <v>87.910718878600846</v>
      </c>
      <c r="C46" s="14">
        <f>W97</f>
        <v>4804.1000000000004</v>
      </c>
      <c r="D46" s="14">
        <f>W98</f>
        <v>4533.72</v>
      </c>
      <c r="E46" s="41">
        <f>W99</f>
        <v>2924.78</v>
      </c>
      <c r="F46" s="46">
        <f>IF('Starting Concentrations'!$C$4="DMSO",(($C46-$E46)/($C$4-$E$4))*100,(($C46-$E46)/($C$3-$E$3))*100)</f>
        <v>80.569679405283495</v>
      </c>
      <c r="G46" s="47">
        <f>IF('Starting Concentrations'!$C$4="DMSO",(($D46-$E46)/($D$4-$E$4))*100,(($D46-$E46)/($D$3-$E$3))*100)</f>
        <v>82.513975075644908</v>
      </c>
      <c r="H46" s="66">
        <f>$X$99*100</f>
        <v>91.95</v>
      </c>
      <c r="I46" s="177"/>
      <c r="J46" s="120">
        <f t="shared" si="7"/>
        <v>22.242807284522186</v>
      </c>
      <c r="K46" s="14">
        <f>W217</f>
        <v>6067.22</v>
      </c>
      <c r="L46" s="14">
        <f>W218</f>
        <v>5776.88</v>
      </c>
      <c r="M46" s="41">
        <f>W219</f>
        <v>2971.24</v>
      </c>
      <c r="N46" s="46">
        <f>IF('Starting Concentrations'!$C$9="DMSO",(($K46-$M46)/($C$4-$E$4))*100,(($K46-$M46)/($C$3-$E$3))*100)</f>
        <v>132.72998533787202</v>
      </c>
      <c r="O46" s="47">
        <f>IF('Starting Concentrations'!$C$9="DMSO",(($L46-$M46)/($D$4-$E$4))*100,(($L46-$M46)/($D$3-$E$3))*100)</f>
        <v>143.88635314631523</v>
      </c>
      <c r="P46" s="66">
        <f>$X$219*100</f>
        <v>88.3</v>
      </c>
      <c r="V46" t="s">
        <v>44</v>
      </c>
      <c r="W46" s="21">
        <v>5571.31</v>
      </c>
      <c r="X46" s="7">
        <v>0.9153</v>
      </c>
    </row>
    <row r="47" spans="1:24" ht="15.9" customHeight="1" x14ac:dyDescent="0.3">
      <c r="V47" t="s">
        <v>45</v>
      </c>
      <c r="W47" s="21">
        <v>5359.63</v>
      </c>
      <c r="X47" s="7">
        <v>0.91149999999999998</v>
      </c>
    </row>
    <row r="48" spans="1:24" ht="15.9" customHeight="1" x14ac:dyDescent="0.3">
      <c r="V48" t="s">
        <v>46</v>
      </c>
      <c r="W48" s="21">
        <v>2730.43</v>
      </c>
      <c r="X48" s="7">
        <v>0.9173</v>
      </c>
    </row>
    <row r="49" spans="22:24" ht="15.9" customHeight="1" x14ac:dyDescent="0.3">
      <c r="V49" t="s">
        <v>47</v>
      </c>
      <c r="W49" s="21">
        <v>5210.67</v>
      </c>
      <c r="X49" s="7">
        <v>0.94099999999999995</v>
      </c>
    </row>
    <row r="50" spans="22:24" ht="15.9" customHeight="1" x14ac:dyDescent="0.3">
      <c r="V50" t="s">
        <v>48</v>
      </c>
      <c r="W50" s="21">
        <v>4941.08</v>
      </c>
      <c r="X50" s="7">
        <v>0.94279999999999997</v>
      </c>
    </row>
    <row r="51" spans="22:24" ht="15.9" customHeight="1" x14ac:dyDescent="0.3">
      <c r="V51" t="s">
        <v>49</v>
      </c>
      <c r="W51" s="21">
        <v>2575.4299999999998</v>
      </c>
      <c r="X51" s="7">
        <v>0.93899999999999995</v>
      </c>
    </row>
    <row r="52" spans="22:24" ht="15.9" customHeight="1" x14ac:dyDescent="0.3">
      <c r="V52" t="s">
        <v>85</v>
      </c>
      <c r="W52" s="21">
        <v>7321.19</v>
      </c>
      <c r="X52" s="7">
        <v>0.50080000000000002</v>
      </c>
    </row>
    <row r="53" spans="22:24" ht="15.9" customHeight="1" x14ac:dyDescent="0.3">
      <c r="V53" t="s">
        <v>50</v>
      </c>
      <c r="W53" s="21">
        <v>11431.8</v>
      </c>
      <c r="X53" s="7">
        <v>0.50990000000000002</v>
      </c>
    </row>
    <row r="54" spans="22:24" ht="15.9" customHeight="1" x14ac:dyDescent="0.3">
      <c r="V54" t="s">
        <v>51</v>
      </c>
      <c r="W54" s="21">
        <v>3161.45</v>
      </c>
      <c r="X54" s="7">
        <v>0.50090000000000001</v>
      </c>
    </row>
    <row r="55" spans="22:24" ht="15.9" customHeight="1" x14ac:dyDescent="0.3">
      <c r="V55" t="s">
        <v>52</v>
      </c>
      <c r="W55" s="21">
        <v>7764.42</v>
      </c>
      <c r="X55" s="7">
        <v>0.63</v>
      </c>
    </row>
    <row r="56" spans="22:24" ht="15.9" customHeight="1" x14ac:dyDescent="0.3">
      <c r="V56" t="s">
        <v>53</v>
      </c>
      <c r="W56" s="21">
        <v>8484.2000000000007</v>
      </c>
      <c r="X56" s="7">
        <v>0.63919999999999999</v>
      </c>
    </row>
    <row r="57" spans="22:24" ht="15.9" customHeight="1" x14ac:dyDescent="0.3">
      <c r="V57" t="s">
        <v>54</v>
      </c>
      <c r="W57" s="21">
        <v>3375.01</v>
      </c>
      <c r="X57" s="7">
        <v>0.63660000000000005</v>
      </c>
    </row>
    <row r="58" spans="22:24" ht="15.9" customHeight="1" x14ac:dyDescent="0.3">
      <c r="V58" t="s">
        <v>55</v>
      </c>
      <c r="W58" s="21">
        <v>7083.53</v>
      </c>
      <c r="X58" s="7">
        <v>0.68659999999999999</v>
      </c>
    </row>
    <row r="59" spans="22:24" ht="15.9" customHeight="1" x14ac:dyDescent="0.3">
      <c r="V59" t="s">
        <v>56</v>
      </c>
      <c r="W59" s="21">
        <v>7317.07</v>
      </c>
      <c r="X59" s="7">
        <v>0.68859999999999999</v>
      </c>
    </row>
    <row r="60" spans="22:24" ht="15" customHeight="1" x14ac:dyDescent="0.3">
      <c r="V60" t="s">
        <v>57</v>
      </c>
      <c r="W60" s="21">
        <v>3569.05</v>
      </c>
      <c r="X60" s="7">
        <v>0.6835</v>
      </c>
    </row>
    <row r="61" spans="22:24" ht="15" customHeight="1" x14ac:dyDescent="0.3">
      <c r="V61" t="s">
        <v>58</v>
      </c>
      <c r="W61" s="21">
        <v>6703.73</v>
      </c>
      <c r="X61" s="7">
        <v>0.74760000000000004</v>
      </c>
    </row>
    <row r="62" spans="22:24" ht="15" customHeight="1" x14ac:dyDescent="0.3">
      <c r="V62" t="s">
        <v>59</v>
      </c>
      <c r="W62" s="21">
        <v>6935.3</v>
      </c>
      <c r="X62" s="7">
        <v>0.75719999999999998</v>
      </c>
    </row>
    <row r="63" spans="22:24" ht="15" customHeight="1" x14ac:dyDescent="0.3">
      <c r="V63" t="s">
        <v>60</v>
      </c>
      <c r="W63" s="21">
        <v>3388.45</v>
      </c>
      <c r="X63" s="7">
        <v>0.75800000000000001</v>
      </c>
    </row>
    <row r="64" spans="22:24" x14ac:dyDescent="0.3">
      <c r="V64" t="s">
        <v>61</v>
      </c>
      <c r="W64" s="21">
        <v>6621.12</v>
      </c>
      <c r="X64" s="7">
        <v>0.78120000000000001</v>
      </c>
    </row>
    <row r="65" spans="1:24" x14ac:dyDescent="0.3">
      <c r="V65" t="s">
        <v>62</v>
      </c>
      <c r="W65" s="21">
        <v>6329.96</v>
      </c>
      <c r="X65" s="7">
        <v>0.79249999999999998</v>
      </c>
    </row>
    <row r="66" spans="1:24" x14ac:dyDescent="0.3">
      <c r="V66" t="s">
        <v>86</v>
      </c>
      <c r="W66" s="21">
        <v>3207.35</v>
      </c>
      <c r="X66" s="7">
        <v>0.78759999999999997</v>
      </c>
    </row>
    <row r="67" spans="1:24" x14ac:dyDescent="0.3">
      <c r="V67" t="s">
        <v>63</v>
      </c>
      <c r="W67" s="21">
        <v>5944.85</v>
      </c>
      <c r="X67" s="7">
        <v>0.81479999999999997</v>
      </c>
    </row>
    <row r="68" spans="1:24" x14ac:dyDescent="0.3">
      <c r="A68"/>
      <c r="B68"/>
      <c r="V68" t="s">
        <v>64</v>
      </c>
      <c r="W68" s="21">
        <v>5940.95</v>
      </c>
      <c r="X68" s="7">
        <v>0.82210000000000005</v>
      </c>
    </row>
    <row r="69" spans="1:24" x14ac:dyDescent="0.3">
      <c r="A69"/>
      <c r="B69"/>
      <c r="V69" t="s">
        <v>65</v>
      </c>
      <c r="W69" s="21">
        <v>3053.18</v>
      </c>
      <c r="X69" s="7">
        <v>0.82279999999999998</v>
      </c>
    </row>
    <row r="70" spans="1:24" x14ac:dyDescent="0.3">
      <c r="C70" s="4"/>
      <c r="G70" s="4"/>
      <c r="H70" s="4"/>
      <c r="V70" t="s">
        <v>66</v>
      </c>
      <c r="W70" s="21">
        <v>5483.43</v>
      </c>
      <c r="X70" s="7">
        <v>0.85470000000000002</v>
      </c>
    </row>
    <row r="71" spans="1:24" x14ac:dyDescent="0.3">
      <c r="A71" s="3"/>
      <c r="B71"/>
      <c r="V71" t="s">
        <v>67</v>
      </c>
      <c r="W71" s="21">
        <v>5498.44</v>
      </c>
      <c r="X71" s="7">
        <v>0.85529999999999995</v>
      </c>
    </row>
    <row r="72" spans="1:24" x14ac:dyDescent="0.3">
      <c r="C72" s="4"/>
      <c r="D72" s="4"/>
      <c r="E72" s="4"/>
      <c r="F72" s="4"/>
      <c r="G72" s="4"/>
      <c r="H72" s="4"/>
      <c r="V72" t="s">
        <v>68</v>
      </c>
      <c r="W72" s="21">
        <v>2851.76</v>
      </c>
      <c r="X72" s="7">
        <v>0.85319999999999996</v>
      </c>
    </row>
    <row r="73" spans="1:24" x14ac:dyDescent="0.3">
      <c r="C73" s="4"/>
      <c r="D73" s="4"/>
      <c r="E73" s="4"/>
      <c r="F73" s="4"/>
      <c r="G73" s="4"/>
      <c r="H73" s="4"/>
      <c r="V73" t="s">
        <v>69</v>
      </c>
      <c r="W73" s="21">
        <v>4998.58</v>
      </c>
      <c r="X73" s="7">
        <v>0.86599999999999999</v>
      </c>
    </row>
    <row r="74" spans="1:24" x14ac:dyDescent="0.3">
      <c r="C74" s="4"/>
      <c r="D74" s="4"/>
      <c r="E74" s="4"/>
      <c r="F74" s="4"/>
      <c r="G74" s="4"/>
      <c r="H74" s="4"/>
      <c r="V74" t="s">
        <v>70</v>
      </c>
      <c r="W74" s="21">
        <v>5320.88</v>
      </c>
      <c r="X74" s="7">
        <v>0.87849999999999995</v>
      </c>
    </row>
    <row r="75" spans="1:24" x14ac:dyDescent="0.3">
      <c r="C75" s="4"/>
      <c r="D75" s="4"/>
      <c r="E75" s="4"/>
      <c r="F75" s="4"/>
      <c r="G75" s="4"/>
      <c r="H75" s="4"/>
      <c r="V75" t="s">
        <v>71</v>
      </c>
      <c r="W75" s="21">
        <v>2663.38</v>
      </c>
      <c r="X75" s="7">
        <v>0.87209999999999999</v>
      </c>
    </row>
    <row r="76" spans="1:24" x14ac:dyDescent="0.3">
      <c r="A76"/>
      <c r="B76"/>
      <c r="V76" t="s">
        <v>72</v>
      </c>
      <c r="W76" s="21">
        <v>4788.38</v>
      </c>
      <c r="X76" s="7">
        <v>0.4451</v>
      </c>
    </row>
    <row r="77" spans="1:24" x14ac:dyDescent="0.3">
      <c r="C77" s="4"/>
      <c r="D77" s="4"/>
      <c r="E77" s="4"/>
      <c r="F77" s="4"/>
      <c r="G77" s="4"/>
      <c r="H77" s="4"/>
      <c r="V77" t="s">
        <v>73</v>
      </c>
      <c r="W77" s="21">
        <v>4776.04</v>
      </c>
      <c r="X77" s="7">
        <v>0.43540000000000001</v>
      </c>
    </row>
    <row r="78" spans="1:24" x14ac:dyDescent="0.3">
      <c r="A78" s="6"/>
      <c r="B78"/>
      <c r="V78" t="s">
        <v>74</v>
      </c>
      <c r="W78" s="21">
        <v>3478.23</v>
      </c>
      <c r="X78" s="7">
        <v>0.43169999999999997</v>
      </c>
    </row>
    <row r="79" spans="1:24" x14ac:dyDescent="0.3">
      <c r="C79" s="4"/>
      <c r="D79" s="4"/>
      <c r="E79" s="4"/>
      <c r="F79" s="4"/>
      <c r="G79" s="4"/>
      <c r="H79" s="4"/>
      <c r="V79" t="s">
        <v>75</v>
      </c>
      <c r="W79" s="21">
        <v>4966.18</v>
      </c>
      <c r="X79" s="7">
        <v>0.58679999999999999</v>
      </c>
    </row>
    <row r="80" spans="1:24" x14ac:dyDescent="0.3">
      <c r="C80" s="4"/>
      <c r="D80" s="4"/>
      <c r="E80" s="4"/>
      <c r="F80" s="4"/>
      <c r="G80" s="4"/>
      <c r="H80" s="4"/>
      <c r="V80" t="s">
        <v>76</v>
      </c>
      <c r="W80" s="21">
        <v>4774</v>
      </c>
      <c r="X80" s="7">
        <v>0.59109999999999996</v>
      </c>
    </row>
    <row r="81" spans="1:24" x14ac:dyDescent="0.3">
      <c r="C81" s="4"/>
      <c r="D81" s="4"/>
      <c r="E81" s="4"/>
      <c r="F81" s="4"/>
      <c r="G81" s="4"/>
      <c r="H81" s="4"/>
      <c r="V81" t="s">
        <v>77</v>
      </c>
      <c r="W81" s="21">
        <v>3606.9</v>
      </c>
      <c r="X81" s="7">
        <v>0.58919999999999995</v>
      </c>
    </row>
    <row r="82" spans="1:24" x14ac:dyDescent="0.3">
      <c r="C82" s="4"/>
      <c r="D82" s="4"/>
      <c r="E82" s="4"/>
      <c r="F82" s="4"/>
      <c r="G82" s="4"/>
      <c r="H82" s="4"/>
      <c r="V82" t="s">
        <v>78</v>
      </c>
      <c r="W82" s="21">
        <v>5262.26</v>
      </c>
      <c r="X82" s="7">
        <v>0.72370000000000001</v>
      </c>
    </row>
    <row r="83" spans="1:24" x14ac:dyDescent="0.3">
      <c r="A83"/>
      <c r="B83"/>
      <c r="V83" t="s">
        <v>79</v>
      </c>
      <c r="W83" s="21">
        <v>4828.3900000000003</v>
      </c>
      <c r="X83" s="7">
        <v>0.72360000000000002</v>
      </c>
    </row>
    <row r="84" spans="1:24" x14ac:dyDescent="0.3">
      <c r="A84"/>
      <c r="B84"/>
      <c r="V84" t="s">
        <v>80</v>
      </c>
      <c r="W84" s="21">
        <v>3610.44</v>
      </c>
      <c r="X84" s="7">
        <v>0.72509999999999997</v>
      </c>
    </row>
    <row r="85" spans="1:24" x14ac:dyDescent="0.3">
      <c r="C85" s="4"/>
      <c r="D85" s="4"/>
      <c r="E85" s="4"/>
      <c r="F85" s="4"/>
      <c r="G85" s="4"/>
      <c r="H85" s="4"/>
      <c r="V85" t="s">
        <v>81</v>
      </c>
      <c r="W85" s="21">
        <v>5265.01</v>
      </c>
      <c r="X85" s="7">
        <v>0.81210000000000004</v>
      </c>
    </row>
    <row r="86" spans="1:24" x14ac:dyDescent="0.3">
      <c r="A86" s="3"/>
      <c r="B86" s="5"/>
      <c r="C86" s="4"/>
      <c r="D86" s="4"/>
      <c r="E86" s="4"/>
      <c r="F86" s="4"/>
      <c r="G86" s="4"/>
      <c r="H86" s="4"/>
      <c r="V86" t="s">
        <v>82</v>
      </c>
      <c r="W86" s="21">
        <v>4905.22</v>
      </c>
      <c r="X86" s="7">
        <v>0.80659999999999998</v>
      </c>
    </row>
    <row r="87" spans="1:24" x14ac:dyDescent="0.3">
      <c r="C87" s="4"/>
      <c r="D87" s="4"/>
      <c r="E87" s="4"/>
      <c r="F87" s="4"/>
      <c r="G87" s="4"/>
      <c r="H87" s="4"/>
      <c r="V87" t="s">
        <v>96</v>
      </c>
      <c r="W87" s="21">
        <v>3492.45</v>
      </c>
      <c r="X87" s="7">
        <v>0.80520000000000003</v>
      </c>
    </row>
    <row r="88" spans="1:24" x14ac:dyDescent="0.3">
      <c r="A88" s="3"/>
      <c r="B88" s="5"/>
      <c r="C88" s="4"/>
      <c r="D88" s="4"/>
      <c r="E88" s="4"/>
      <c r="F88" s="4"/>
      <c r="G88" s="4"/>
      <c r="H88" s="4"/>
      <c r="V88" t="s">
        <v>97</v>
      </c>
      <c r="W88" s="21">
        <v>5401.09</v>
      </c>
      <c r="X88" s="7">
        <v>0.876</v>
      </c>
    </row>
    <row r="89" spans="1:24" x14ac:dyDescent="0.3">
      <c r="V89" t="s">
        <v>98</v>
      </c>
      <c r="W89" s="21">
        <v>4921.55</v>
      </c>
      <c r="X89" s="7">
        <v>0.87709999999999999</v>
      </c>
    </row>
    <row r="90" spans="1:24" x14ac:dyDescent="0.3">
      <c r="V90" t="s">
        <v>99</v>
      </c>
      <c r="W90" s="21">
        <v>3329.56</v>
      </c>
      <c r="X90" s="7">
        <v>0.87580000000000002</v>
      </c>
    </row>
    <row r="91" spans="1:24" x14ac:dyDescent="0.3">
      <c r="V91" t="s">
        <v>100</v>
      </c>
      <c r="W91" s="21">
        <v>5333.28</v>
      </c>
      <c r="X91" s="7">
        <v>0.89100000000000001</v>
      </c>
    </row>
    <row r="92" spans="1:24" x14ac:dyDescent="0.3">
      <c r="V92" t="s">
        <v>101</v>
      </c>
      <c r="W92" s="21">
        <v>4858.5</v>
      </c>
      <c r="X92" s="7">
        <v>0.89580000000000004</v>
      </c>
    </row>
    <row r="93" spans="1:24" x14ac:dyDescent="0.3">
      <c r="V93" t="s">
        <v>102</v>
      </c>
      <c r="W93" s="21">
        <v>3180.82</v>
      </c>
      <c r="X93" s="7">
        <v>0.8952</v>
      </c>
    </row>
    <row r="94" spans="1:24" x14ac:dyDescent="0.3">
      <c r="D94" s="21"/>
      <c r="E94" s="7"/>
      <c r="F94" s="7"/>
      <c r="G94" s="7"/>
      <c r="H94" s="7"/>
      <c r="V94" t="s">
        <v>103</v>
      </c>
      <c r="W94" s="21">
        <v>4940.5600000000004</v>
      </c>
      <c r="X94" s="7">
        <v>0.92079999999999995</v>
      </c>
    </row>
    <row r="95" spans="1:24" x14ac:dyDescent="0.3">
      <c r="D95" s="21"/>
      <c r="E95" s="7"/>
      <c r="F95" s="7"/>
      <c r="G95" s="7"/>
      <c r="H95" s="7"/>
      <c r="V95" t="s">
        <v>104</v>
      </c>
      <c r="W95" s="21">
        <v>4758.09</v>
      </c>
      <c r="X95" s="7">
        <v>0.92149999999999999</v>
      </c>
    </row>
    <row r="96" spans="1:24" x14ac:dyDescent="0.3">
      <c r="D96" s="21"/>
      <c r="E96" s="7"/>
      <c r="F96" s="7"/>
      <c r="G96" s="7"/>
      <c r="H96" s="7"/>
      <c r="V96" t="s">
        <v>105</v>
      </c>
      <c r="W96" s="21">
        <v>2969.52</v>
      </c>
      <c r="X96" s="7">
        <v>0.91849999999999998</v>
      </c>
    </row>
    <row r="97" spans="4:25" x14ac:dyDescent="0.3">
      <c r="D97" s="21"/>
      <c r="E97" s="7"/>
      <c r="F97" s="7"/>
      <c r="G97" s="7"/>
      <c r="H97" s="7"/>
      <c r="V97" t="s">
        <v>106</v>
      </c>
      <c r="W97" s="21">
        <v>4804.1000000000004</v>
      </c>
      <c r="X97" s="7">
        <v>0.92869999999999997</v>
      </c>
    </row>
    <row r="98" spans="4:25" x14ac:dyDescent="0.3">
      <c r="D98" s="21"/>
      <c r="E98" s="7"/>
      <c r="F98" s="7"/>
      <c r="G98" s="7"/>
      <c r="H98" s="7"/>
      <c r="V98" t="s">
        <v>107</v>
      </c>
      <c r="W98" s="21">
        <v>4533.72</v>
      </c>
      <c r="X98" s="7">
        <v>0.92420000000000002</v>
      </c>
    </row>
    <row r="99" spans="4:25" x14ac:dyDescent="0.3">
      <c r="D99" s="21"/>
      <c r="E99" s="7"/>
      <c r="F99" s="7"/>
      <c r="G99" s="7"/>
      <c r="H99" s="7"/>
      <c r="V99" t="s">
        <v>108</v>
      </c>
      <c r="W99" s="21">
        <v>2924.78</v>
      </c>
      <c r="X99" s="7">
        <v>0.91949999999999998</v>
      </c>
    </row>
    <row r="100" spans="4:25" x14ac:dyDescent="0.3">
      <c r="D100" s="21"/>
      <c r="E100" s="7"/>
      <c r="F100" s="7"/>
      <c r="G100" s="7"/>
      <c r="H100" s="7"/>
      <c r="V100" s="7" t="s">
        <v>109</v>
      </c>
      <c r="W100" s="21">
        <v>5774.1</v>
      </c>
      <c r="X100" s="7">
        <v>0.59970000000000001</v>
      </c>
    </row>
    <row r="101" spans="4:25" x14ac:dyDescent="0.3">
      <c r="D101" s="21"/>
      <c r="E101" s="7"/>
      <c r="F101" s="7"/>
      <c r="G101" s="7"/>
      <c r="H101" s="7"/>
      <c r="V101" s="7" t="s">
        <v>110</v>
      </c>
      <c r="W101" s="21">
        <v>5548.1</v>
      </c>
      <c r="X101" s="7">
        <v>0.6109</v>
      </c>
      <c r="Y101" s="21"/>
    </row>
    <row r="102" spans="4:25" x14ac:dyDescent="0.3">
      <c r="D102" s="21"/>
      <c r="E102" s="7"/>
      <c r="F102" s="7"/>
      <c r="G102" s="7"/>
      <c r="H102" s="7"/>
      <c r="V102" s="7" t="s">
        <v>111</v>
      </c>
      <c r="W102" s="21">
        <v>3657.68</v>
      </c>
      <c r="X102" s="7">
        <v>0.59119999999999995</v>
      </c>
      <c r="Y102" s="21"/>
    </row>
    <row r="103" spans="4:25" x14ac:dyDescent="0.3">
      <c r="D103" s="21"/>
      <c r="E103" s="7"/>
      <c r="F103" s="7"/>
      <c r="G103" s="7"/>
      <c r="H103" s="7"/>
      <c r="V103" s="7" t="s">
        <v>112</v>
      </c>
      <c r="W103" s="21">
        <v>6318.78</v>
      </c>
      <c r="X103" s="7">
        <v>0.70489999999999997</v>
      </c>
      <c r="Y103" s="21"/>
    </row>
    <row r="104" spans="4:25" x14ac:dyDescent="0.3">
      <c r="D104" s="21"/>
      <c r="E104" s="7"/>
      <c r="F104" s="7"/>
      <c r="G104" s="7"/>
      <c r="H104" s="7"/>
      <c r="V104" s="7" t="s">
        <v>113</v>
      </c>
      <c r="W104" s="21">
        <v>6086.33</v>
      </c>
      <c r="X104" s="7">
        <v>0.71860000000000002</v>
      </c>
      <c r="Y104" s="21"/>
    </row>
    <row r="105" spans="4:25" x14ac:dyDescent="0.3">
      <c r="D105" s="21"/>
      <c r="E105" s="7"/>
      <c r="F105" s="7"/>
      <c r="G105" s="7"/>
      <c r="H105" s="7"/>
      <c r="V105" s="7" t="s">
        <v>114</v>
      </c>
      <c r="W105" s="21">
        <v>3775.45</v>
      </c>
      <c r="X105" s="7">
        <v>0.70320000000000005</v>
      </c>
      <c r="Y105" s="21"/>
    </row>
    <row r="106" spans="4:25" x14ac:dyDescent="0.3">
      <c r="D106" s="21"/>
      <c r="E106" s="7"/>
      <c r="F106" s="7"/>
      <c r="G106" s="7"/>
      <c r="H106" s="7"/>
      <c r="V106" s="7" t="s">
        <v>115</v>
      </c>
      <c r="W106" s="21">
        <v>6251</v>
      </c>
      <c r="X106" s="7">
        <v>0.79849999999999999</v>
      </c>
      <c r="Y106" s="21"/>
    </row>
    <row r="107" spans="4:25" x14ac:dyDescent="0.3">
      <c r="D107" s="21"/>
      <c r="E107" s="7"/>
      <c r="F107" s="7"/>
      <c r="G107" s="7"/>
      <c r="H107" s="7"/>
      <c r="V107" s="7" t="s">
        <v>116</v>
      </c>
      <c r="W107" s="21">
        <v>6633.63</v>
      </c>
      <c r="X107" s="7">
        <v>0.80710000000000004</v>
      </c>
      <c r="Y107" s="21"/>
    </row>
    <row r="108" spans="4:25" x14ac:dyDescent="0.3">
      <c r="D108" s="21"/>
      <c r="E108" s="7"/>
      <c r="F108" s="7"/>
      <c r="G108" s="7"/>
      <c r="H108" s="7"/>
      <c r="V108" s="7" t="s">
        <v>117</v>
      </c>
      <c r="W108" s="21">
        <v>3647.56</v>
      </c>
      <c r="X108" s="7">
        <v>0.80420000000000003</v>
      </c>
      <c r="Y108" s="21"/>
    </row>
    <row r="109" spans="4:25" x14ac:dyDescent="0.3">
      <c r="D109" s="21"/>
      <c r="E109" s="7"/>
      <c r="F109" s="7"/>
      <c r="G109" s="7"/>
      <c r="H109" s="7"/>
      <c r="V109" s="7" t="s">
        <v>118</v>
      </c>
      <c r="W109" s="21">
        <v>6129.74</v>
      </c>
      <c r="X109" s="7">
        <v>0.85119999999999996</v>
      </c>
      <c r="Y109" s="21"/>
    </row>
    <row r="110" spans="4:25" x14ac:dyDescent="0.3">
      <c r="D110" s="21"/>
      <c r="E110" s="7"/>
      <c r="F110" s="7"/>
      <c r="G110" s="7"/>
      <c r="H110" s="7"/>
      <c r="V110" s="7" t="s">
        <v>119</v>
      </c>
      <c r="W110" s="21">
        <v>6446.45</v>
      </c>
      <c r="X110" s="7">
        <v>0.85840000000000005</v>
      </c>
      <c r="Y110" s="21"/>
    </row>
    <row r="111" spans="4:25" x14ac:dyDescent="0.3">
      <c r="D111" s="21"/>
      <c r="E111" s="7"/>
      <c r="F111" s="7"/>
      <c r="G111" s="7"/>
      <c r="H111" s="7"/>
      <c r="V111" s="7" t="s">
        <v>120</v>
      </c>
      <c r="W111" s="21">
        <v>3628.33</v>
      </c>
      <c r="X111" s="7">
        <v>0.85540000000000005</v>
      </c>
      <c r="Y111" s="21"/>
    </row>
    <row r="112" spans="4:25" x14ac:dyDescent="0.3">
      <c r="D112" s="21"/>
      <c r="E112" s="7"/>
      <c r="F112" s="7"/>
      <c r="G112" s="7"/>
      <c r="H112" s="7"/>
      <c r="V112" s="7" t="s">
        <v>121</v>
      </c>
      <c r="W112" s="21">
        <v>5952.92</v>
      </c>
      <c r="X112" s="7">
        <v>0.9113</v>
      </c>
      <c r="Y112" s="21"/>
    </row>
    <row r="113" spans="4:25" x14ac:dyDescent="0.3">
      <c r="D113" s="21"/>
      <c r="E113" s="7"/>
      <c r="F113" s="7"/>
      <c r="G113" s="7"/>
      <c r="H113" s="7"/>
      <c r="V113" s="7" t="s">
        <v>122</v>
      </c>
      <c r="W113" s="21">
        <v>6324.67</v>
      </c>
      <c r="X113" s="7">
        <v>0.9133</v>
      </c>
      <c r="Y113" s="21"/>
    </row>
    <row r="114" spans="4:25" x14ac:dyDescent="0.3">
      <c r="D114" s="21"/>
      <c r="E114" s="7"/>
      <c r="F114" s="7"/>
      <c r="G114" s="7"/>
      <c r="H114" s="7"/>
      <c r="V114" s="7" t="s">
        <v>123</v>
      </c>
      <c r="W114" s="21">
        <v>3519.45</v>
      </c>
      <c r="X114" s="7">
        <v>0.91510000000000002</v>
      </c>
      <c r="Y114" s="21"/>
    </row>
    <row r="115" spans="4:25" x14ac:dyDescent="0.3">
      <c r="D115" s="21"/>
      <c r="E115" s="7"/>
      <c r="F115" s="7"/>
      <c r="G115" s="7"/>
      <c r="H115" s="7"/>
      <c r="V115" s="7" t="s">
        <v>124</v>
      </c>
      <c r="W115" s="21">
        <v>5859.94</v>
      </c>
      <c r="X115" s="7">
        <v>0.9234</v>
      </c>
      <c r="Y115" s="21"/>
    </row>
    <row r="116" spans="4:25" x14ac:dyDescent="0.3">
      <c r="D116" s="21"/>
      <c r="E116" s="7"/>
      <c r="F116" s="7"/>
      <c r="G116" s="7"/>
      <c r="H116" s="7"/>
      <c r="V116" s="7" t="s">
        <v>125</v>
      </c>
      <c r="W116" s="21">
        <v>5808.41</v>
      </c>
      <c r="X116" s="7">
        <v>0.92589999999999995</v>
      </c>
      <c r="Y116" s="21"/>
    </row>
    <row r="117" spans="4:25" x14ac:dyDescent="0.3">
      <c r="D117" s="21"/>
      <c r="E117" s="7"/>
      <c r="F117" s="7"/>
      <c r="G117" s="7"/>
      <c r="H117" s="7"/>
      <c r="V117" s="7" t="s">
        <v>126</v>
      </c>
      <c r="W117" s="21">
        <v>3403.18</v>
      </c>
      <c r="X117" s="7">
        <v>0.93210000000000004</v>
      </c>
      <c r="Y117" s="21"/>
    </row>
    <row r="118" spans="4:25" x14ac:dyDescent="0.3">
      <c r="D118" s="21"/>
      <c r="E118" s="7"/>
      <c r="F118" s="7"/>
      <c r="G118" s="7"/>
      <c r="H118" s="7"/>
      <c r="V118" s="7" t="s">
        <v>127</v>
      </c>
      <c r="W118" s="21">
        <v>5739.33</v>
      </c>
      <c r="X118" s="7">
        <v>0.94879999999999998</v>
      </c>
      <c r="Y118" s="21"/>
    </row>
    <row r="119" spans="4:25" x14ac:dyDescent="0.3">
      <c r="D119" s="21"/>
      <c r="E119" s="7"/>
      <c r="F119" s="7"/>
      <c r="G119" s="7"/>
      <c r="H119" s="7"/>
      <c r="V119" s="7" t="s">
        <v>128</v>
      </c>
      <c r="W119" s="21">
        <v>5566.99</v>
      </c>
      <c r="X119" s="7">
        <v>0.9526</v>
      </c>
      <c r="Y119" s="21"/>
    </row>
    <row r="120" spans="4:25" x14ac:dyDescent="0.3">
      <c r="D120" s="21"/>
      <c r="E120" s="7"/>
      <c r="F120" s="7"/>
      <c r="G120" s="7"/>
      <c r="H120" s="7"/>
      <c r="V120" s="7" t="s">
        <v>129</v>
      </c>
      <c r="W120" s="21">
        <v>3300.53</v>
      </c>
      <c r="X120" s="7">
        <v>0.95109999999999995</v>
      </c>
      <c r="Y120" s="21"/>
    </row>
    <row r="121" spans="4:25" x14ac:dyDescent="0.3">
      <c r="D121" s="21"/>
      <c r="E121" s="7"/>
      <c r="F121" s="7"/>
      <c r="G121" s="7"/>
      <c r="H121" s="7"/>
      <c r="V121" s="7" t="s">
        <v>130</v>
      </c>
      <c r="W121" s="21">
        <v>5514.03</v>
      </c>
      <c r="X121" s="7">
        <v>0.95299999999999996</v>
      </c>
      <c r="Y121" s="21"/>
    </row>
    <row r="122" spans="4:25" x14ac:dyDescent="0.3">
      <c r="D122" s="21"/>
      <c r="E122" s="7"/>
      <c r="F122" s="7"/>
      <c r="G122" s="7"/>
      <c r="H122" s="7"/>
      <c r="V122" s="7" t="s">
        <v>131</v>
      </c>
      <c r="W122" s="21">
        <v>5297.88</v>
      </c>
      <c r="X122" s="7">
        <v>0.95589999999999997</v>
      </c>
      <c r="Y122" s="21"/>
    </row>
    <row r="123" spans="4:25" x14ac:dyDescent="0.3">
      <c r="D123" s="21"/>
      <c r="E123" s="7"/>
      <c r="F123" s="7"/>
      <c r="G123" s="7"/>
      <c r="H123" s="7"/>
      <c r="V123" s="7" t="s">
        <v>132</v>
      </c>
      <c r="W123" s="21">
        <v>3288.46</v>
      </c>
      <c r="X123" s="7">
        <v>0.95089999999999997</v>
      </c>
      <c r="Y123" s="21"/>
    </row>
    <row r="124" spans="4:25" x14ac:dyDescent="0.3">
      <c r="D124" s="21"/>
      <c r="E124" s="7"/>
      <c r="F124" s="7"/>
      <c r="G124" s="7"/>
      <c r="H124" s="7"/>
      <c r="V124" s="7" t="s">
        <v>133</v>
      </c>
      <c r="W124" s="21">
        <v>3710.12</v>
      </c>
      <c r="X124" s="7">
        <v>0.59809999999999997</v>
      </c>
      <c r="Y124" s="21"/>
    </row>
    <row r="125" spans="4:25" x14ac:dyDescent="0.3">
      <c r="D125" s="21"/>
      <c r="E125" s="7"/>
      <c r="F125" s="7"/>
      <c r="G125" s="7"/>
      <c r="H125" s="7"/>
      <c r="V125" s="7" t="s">
        <v>134</v>
      </c>
      <c r="W125" s="21">
        <v>4367.5600000000004</v>
      </c>
      <c r="X125" s="7">
        <v>0.59060000000000001</v>
      </c>
      <c r="Y125" s="21"/>
    </row>
    <row r="126" spans="4:25" x14ac:dyDescent="0.3">
      <c r="D126" s="21"/>
      <c r="E126" s="7"/>
      <c r="F126" s="7"/>
      <c r="G126" s="7"/>
      <c r="H126" s="7"/>
      <c r="V126" s="7" t="s">
        <v>135</v>
      </c>
      <c r="W126" s="21">
        <v>2870.22</v>
      </c>
      <c r="X126" s="7">
        <v>0.59340000000000004</v>
      </c>
      <c r="Y126" s="21"/>
    </row>
    <row r="127" spans="4:25" x14ac:dyDescent="0.3">
      <c r="D127" s="21"/>
      <c r="E127" s="7"/>
      <c r="F127" s="7"/>
      <c r="G127" s="7"/>
      <c r="H127" s="7"/>
      <c r="V127" s="7" t="s">
        <v>136</v>
      </c>
      <c r="W127" s="21">
        <v>4578.51</v>
      </c>
      <c r="X127" s="7">
        <v>0.76619999999999999</v>
      </c>
      <c r="Y127" s="21"/>
    </row>
    <row r="128" spans="4:25" x14ac:dyDescent="0.3">
      <c r="D128" s="21"/>
      <c r="E128" s="7"/>
      <c r="F128" s="7"/>
      <c r="G128" s="7"/>
      <c r="H128" s="7"/>
      <c r="V128" s="7" t="s">
        <v>137</v>
      </c>
      <c r="W128" s="21">
        <v>5779.92</v>
      </c>
      <c r="X128" s="7">
        <v>0.76459999999999995</v>
      </c>
      <c r="Y128" s="21"/>
    </row>
    <row r="129" spans="4:25" x14ac:dyDescent="0.3">
      <c r="D129" s="21"/>
      <c r="E129" s="7"/>
      <c r="F129" s="7"/>
      <c r="G129" s="7"/>
      <c r="H129" s="7"/>
      <c r="V129" s="7" t="s">
        <v>138</v>
      </c>
      <c r="W129" s="21">
        <v>3066.26</v>
      </c>
      <c r="X129" s="7">
        <v>0.76249999999999996</v>
      </c>
      <c r="Y129" s="21"/>
    </row>
    <row r="130" spans="4:25" x14ac:dyDescent="0.3">
      <c r="D130" s="21"/>
      <c r="E130" s="7"/>
      <c r="F130" s="7"/>
      <c r="G130" s="7"/>
      <c r="H130" s="7"/>
      <c r="V130" s="7" t="s">
        <v>139</v>
      </c>
      <c r="W130" s="21">
        <v>5209.97</v>
      </c>
      <c r="X130" s="7">
        <v>0.85319999999999996</v>
      </c>
      <c r="Y130" s="21"/>
    </row>
    <row r="131" spans="4:25" x14ac:dyDescent="0.3">
      <c r="D131" s="21"/>
      <c r="E131" s="7"/>
      <c r="F131" s="7"/>
      <c r="G131" s="7"/>
      <c r="H131" s="7"/>
      <c r="V131" s="7" t="s">
        <v>140</v>
      </c>
      <c r="W131" s="21">
        <v>6014.13</v>
      </c>
      <c r="X131" s="7">
        <v>0.86199999999999999</v>
      </c>
      <c r="Y131" s="21"/>
    </row>
    <row r="132" spans="4:25" x14ac:dyDescent="0.3">
      <c r="D132" s="21"/>
      <c r="E132" s="7"/>
      <c r="F132" s="7"/>
      <c r="G132" s="7"/>
      <c r="H132" s="7"/>
      <c r="V132" s="7" t="s">
        <v>141</v>
      </c>
      <c r="W132" s="21">
        <v>3064.71</v>
      </c>
      <c r="X132" s="7">
        <v>0.85529999999999995</v>
      </c>
      <c r="Y132" s="21"/>
    </row>
    <row r="133" spans="4:25" x14ac:dyDescent="0.3">
      <c r="D133" s="21"/>
      <c r="E133" s="7"/>
      <c r="F133" s="7"/>
      <c r="G133" s="7"/>
      <c r="H133" s="7"/>
      <c r="V133" s="7" t="s">
        <v>142</v>
      </c>
      <c r="W133" s="21">
        <v>4905.16</v>
      </c>
      <c r="X133" s="7">
        <v>0.83979999999999999</v>
      </c>
      <c r="Y133" s="21"/>
    </row>
    <row r="134" spans="4:25" x14ac:dyDescent="0.3">
      <c r="D134" s="21"/>
      <c r="E134" s="7"/>
      <c r="F134" s="7"/>
      <c r="G134" s="7"/>
      <c r="H134" s="7"/>
      <c r="V134" s="7" t="s">
        <v>143</v>
      </c>
      <c r="W134" s="21">
        <v>6000.19</v>
      </c>
      <c r="X134" s="7">
        <v>0.83799999999999997</v>
      </c>
      <c r="Y134" s="21"/>
    </row>
    <row r="135" spans="4:25" x14ac:dyDescent="0.3">
      <c r="D135" s="21"/>
      <c r="E135" s="7"/>
      <c r="F135" s="7"/>
      <c r="G135" s="7"/>
      <c r="H135" s="7"/>
      <c r="V135" s="7" t="s">
        <v>144</v>
      </c>
      <c r="W135" s="21">
        <v>3169.66</v>
      </c>
      <c r="X135" s="7">
        <v>0.83040000000000003</v>
      </c>
      <c r="Y135" s="21"/>
    </row>
    <row r="136" spans="4:25" x14ac:dyDescent="0.3">
      <c r="D136" s="21"/>
      <c r="E136" s="7"/>
      <c r="F136" s="7"/>
      <c r="G136" s="7"/>
      <c r="H136" s="7"/>
      <c r="V136" s="7" t="s">
        <v>145</v>
      </c>
      <c r="W136" s="21">
        <v>5171.41</v>
      </c>
      <c r="X136" s="7">
        <v>0.93840000000000001</v>
      </c>
      <c r="Y136" s="21"/>
    </row>
    <row r="137" spans="4:25" x14ac:dyDescent="0.3">
      <c r="D137" s="21"/>
      <c r="E137" s="7"/>
      <c r="F137" s="7"/>
      <c r="G137" s="7"/>
      <c r="H137" s="7"/>
      <c r="V137" s="7" t="s">
        <v>146</v>
      </c>
      <c r="W137" s="21">
        <v>5177.8999999999996</v>
      </c>
      <c r="X137" s="7">
        <v>0.93230000000000002</v>
      </c>
      <c r="Y137" s="21"/>
    </row>
    <row r="138" spans="4:25" x14ac:dyDescent="0.3">
      <c r="D138" s="21"/>
      <c r="E138" s="7"/>
      <c r="F138" s="7"/>
      <c r="G138" s="7"/>
      <c r="H138" s="7"/>
      <c r="V138" s="7" t="s">
        <v>147</v>
      </c>
      <c r="W138" s="21">
        <v>2997.84</v>
      </c>
      <c r="X138" s="7">
        <v>0.93220000000000003</v>
      </c>
      <c r="Y138" s="21"/>
    </row>
    <row r="139" spans="4:25" x14ac:dyDescent="0.3">
      <c r="D139" s="21"/>
      <c r="E139" s="7"/>
      <c r="F139" s="7"/>
      <c r="G139" s="7"/>
      <c r="H139" s="7"/>
      <c r="V139" s="7" t="s">
        <v>148</v>
      </c>
      <c r="W139" s="21">
        <v>5209.33</v>
      </c>
      <c r="X139" s="7">
        <v>0.94140000000000001</v>
      </c>
      <c r="Y139" s="21"/>
    </row>
    <row r="140" spans="4:25" x14ac:dyDescent="0.3">
      <c r="D140" s="21"/>
      <c r="E140" s="7"/>
      <c r="F140" s="7"/>
      <c r="G140" s="7"/>
      <c r="H140" s="7"/>
      <c r="V140" s="7" t="s">
        <v>149</v>
      </c>
      <c r="W140" s="21">
        <v>4973.3100000000004</v>
      </c>
      <c r="X140" s="7">
        <v>0.94089999999999996</v>
      </c>
      <c r="Y140" s="21"/>
    </row>
    <row r="141" spans="4:25" x14ac:dyDescent="0.3">
      <c r="D141" s="21"/>
      <c r="E141" s="7"/>
      <c r="F141" s="7"/>
      <c r="G141" s="7"/>
      <c r="H141" s="7"/>
      <c r="V141" s="7" t="s">
        <v>150</v>
      </c>
      <c r="W141" s="21">
        <v>2949.33</v>
      </c>
      <c r="X141" s="7">
        <v>0.93799999999999994</v>
      </c>
      <c r="Y141" s="21"/>
    </row>
    <row r="142" spans="4:25" x14ac:dyDescent="0.3">
      <c r="D142" s="21"/>
      <c r="E142" s="7"/>
      <c r="F142" s="7"/>
      <c r="G142" s="7"/>
      <c r="H142" s="7"/>
      <c r="V142" s="7" t="s">
        <v>151</v>
      </c>
      <c r="W142" s="21">
        <v>5192.41</v>
      </c>
      <c r="X142" s="7">
        <v>0.95269999999999999</v>
      </c>
      <c r="Y142" s="21"/>
    </row>
    <row r="143" spans="4:25" x14ac:dyDescent="0.3">
      <c r="D143" s="21"/>
      <c r="E143" s="7"/>
      <c r="F143" s="7"/>
      <c r="G143" s="7"/>
      <c r="H143" s="7"/>
      <c r="V143" s="7" t="s">
        <v>152</v>
      </c>
      <c r="W143" s="21">
        <v>4971.0600000000004</v>
      </c>
      <c r="X143" s="7">
        <v>0.95220000000000005</v>
      </c>
      <c r="Y143" s="21"/>
    </row>
    <row r="144" spans="4:25" x14ac:dyDescent="0.3">
      <c r="D144" s="21"/>
      <c r="E144" s="7"/>
      <c r="F144" s="7"/>
      <c r="G144" s="7"/>
      <c r="H144" s="7"/>
      <c r="V144" s="7" t="s">
        <v>153</v>
      </c>
      <c r="W144" s="21">
        <v>2789.05</v>
      </c>
      <c r="X144" s="7">
        <v>0.95720000000000005</v>
      </c>
      <c r="Y144" s="21"/>
    </row>
    <row r="145" spans="4:25" x14ac:dyDescent="0.3">
      <c r="D145" s="21"/>
      <c r="E145" s="7"/>
      <c r="F145" s="7"/>
      <c r="G145" s="7"/>
      <c r="H145" s="7"/>
      <c r="V145" s="7" t="s">
        <v>154</v>
      </c>
      <c r="W145" s="21">
        <v>4762.68</v>
      </c>
      <c r="X145" s="7">
        <v>0.95099999999999996</v>
      </c>
      <c r="Y145" s="21"/>
    </row>
    <row r="146" spans="4:25" x14ac:dyDescent="0.3">
      <c r="D146" s="21"/>
      <c r="E146" s="7"/>
      <c r="F146" s="7"/>
      <c r="G146" s="7"/>
      <c r="H146" s="7"/>
      <c r="V146" s="7" t="s">
        <v>155</v>
      </c>
      <c r="W146" s="21">
        <v>4929.32</v>
      </c>
      <c r="X146" s="7">
        <v>0.95550000000000002</v>
      </c>
      <c r="Y146" s="21"/>
    </row>
    <row r="147" spans="4:25" x14ac:dyDescent="0.3">
      <c r="D147" s="21"/>
      <c r="E147" s="7"/>
      <c r="F147" s="7"/>
      <c r="G147" s="7"/>
      <c r="H147" s="7"/>
      <c r="V147" s="7" t="s">
        <v>156</v>
      </c>
      <c r="W147" s="21">
        <v>2692.48</v>
      </c>
      <c r="X147" s="7">
        <v>0.95289999999999997</v>
      </c>
      <c r="Y147" s="21"/>
    </row>
    <row r="148" spans="4:25" x14ac:dyDescent="0.3">
      <c r="D148" s="21"/>
      <c r="E148" s="7"/>
      <c r="F148" s="7"/>
      <c r="G148" s="7"/>
      <c r="H148" s="7"/>
      <c r="V148" s="7" t="s">
        <v>157</v>
      </c>
      <c r="W148" s="21">
        <v>4701.82</v>
      </c>
      <c r="X148" s="7">
        <v>0.21199999999999999</v>
      </c>
      <c r="Y148" s="21"/>
    </row>
    <row r="149" spans="4:25" x14ac:dyDescent="0.3">
      <c r="D149" s="21"/>
      <c r="E149" s="7"/>
      <c r="F149" s="7"/>
      <c r="G149" s="7"/>
      <c r="H149" s="7"/>
      <c r="V149" s="7" t="s">
        <v>158</v>
      </c>
      <c r="W149" s="21">
        <v>6690.28</v>
      </c>
      <c r="X149" s="7">
        <v>0.21679999999999999</v>
      </c>
      <c r="Y149" s="21"/>
    </row>
    <row r="150" spans="4:25" x14ac:dyDescent="0.3">
      <c r="D150" s="21"/>
      <c r="E150" s="7"/>
      <c r="F150" s="7"/>
      <c r="G150" s="7"/>
      <c r="H150" s="7"/>
      <c r="V150" s="7" t="s">
        <v>159</v>
      </c>
      <c r="W150" s="21">
        <v>2887.35</v>
      </c>
      <c r="X150" s="7">
        <v>0.21629999999999999</v>
      </c>
      <c r="Y150" s="21"/>
    </row>
    <row r="151" spans="4:25" x14ac:dyDescent="0.3">
      <c r="D151" s="21"/>
      <c r="E151" s="7"/>
      <c r="F151" s="7"/>
      <c r="G151" s="7"/>
      <c r="H151" s="7"/>
      <c r="V151" s="7" t="s">
        <v>160</v>
      </c>
      <c r="W151" s="21">
        <v>5107.0600000000004</v>
      </c>
      <c r="X151" s="7">
        <v>0.52380000000000004</v>
      </c>
      <c r="Y151" s="21"/>
    </row>
    <row r="152" spans="4:25" x14ac:dyDescent="0.3">
      <c r="D152" s="21"/>
      <c r="E152" s="7"/>
      <c r="F152" s="7"/>
      <c r="G152" s="7"/>
      <c r="H152" s="7"/>
      <c r="V152" s="7" t="s">
        <v>161</v>
      </c>
      <c r="W152" s="21">
        <v>8183.75</v>
      </c>
      <c r="X152" s="7">
        <v>0.53559999999999997</v>
      </c>
      <c r="Y152" s="21"/>
    </row>
    <row r="153" spans="4:25" x14ac:dyDescent="0.3">
      <c r="D153" s="21"/>
      <c r="E153" s="7"/>
      <c r="F153" s="7"/>
      <c r="G153" s="7"/>
      <c r="H153" s="7"/>
      <c r="V153" s="7" t="s">
        <v>162</v>
      </c>
      <c r="W153" s="21">
        <v>2920.19</v>
      </c>
      <c r="X153" s="7">
        <v>0.52590000000000003</v>
      </c>
      <c r="Y153" s="21"/>
    </row>
    <row r="154" spans="4:25" x14ac:dyDescent="0.3">
      <c r="D154" s="21"/>
      <c r="E154" s="7"/>
      <c r="F154" s="7"/>
      <c r="G154" s="7"/>
      <c r="H154" s="7"/>
      <c r="V154" s="7" t="s">
        <v>163</v>
      </c>
      <c r="W154" s="21">
        <v>6255.27</v>
      </c>
      <c r="X154" s="7">
        <v>0.73380000000000001</v>
      </c>
      <c r="Y154" s="21"/>
    </row>
    <row r="155" spans="4:25" x14ac:dyDescent="0.3">
      <c r="D155" s="21"/>
      <c r="E155" s="7"/>
      <c r="F155" s="7"/>
      <c r="G155" s="7"/>
      <c r="H155" s="7"/>
      <c r="V155" s="7" t="s">
        <v>164</v>
      </c>
      <c r="W155" s="21">
        <v>7570.81</v>
      </c>
      <c r="X155" s="7">
        <v>0.74209999999999998</v>
      </c>
      <c r="Y155" s="21"/>
    </row>
    <row r="156" spans="4:25" x14ac:dyDescent="0.3">
      <c r="D156" s="21"/>
      <c r="E156" s="7"/>
      <c r="F156" s="7"/>
      <c r="G156" s="7"/>
      <c r="H156" s="7"/>
      <c r="V156" s="7" t="s">
        <v>165</v>
      </c>
      <c r="W156" s="21">
        <v>3494.51</v>
      </c>
      <c r="X156" s="7">
        <v>0.73329999999999995</v>
      </c>
      <c r="Y156" s="21"/>
    </row>
    <row r="157" spans="4:25" x14ac:dyDescent="0.3">
      <c r="D157" s="21"/>
      <c r="E157" s="7"/>
      <c r="F157" s="7"/>
      <c r="G157" s="7"/>
      <c r="H157" s="7"/>
      <c r="V157" s="7" t="s">
        <v>166</v>
      </c>
      <c r="W157" s="21">
        <v>6341.76</v>
      </c>
      <c r="X157" s="7">
        <v>0.80400000000000005</v>
      </c>
      <c r="Y157" s="21"/>
    </row>
    <row r="158" spans="4:25" x14ac:dyDescent="0.3">
      <c r="D158" s="21"/>
      <c r="E158" s="7"/>
      <c r="F158" s="7"/>
      <c r="G158" s="7"/>
      <c r="H158" s="7"/>
      <c r="V158" s="7" t="s">
        <v>167</v>
      </c>
      <c r="W158" s="21">
        <v>6973.51</v>
      </c>
      <c r="X158" s="7">
        <v>0.79469999999999996</v>
      </c>
      <c r="Y158" s="21"/>
    </row>
    <row r="159" spans="4:25" x14ac:dyDescent="0.3">
      <c r="D159" s="21"/>
      <c r="E159" s="7"/>
      <c r="F159" s="7"/>
      <c r="G159" s="7"/>
      <c r="H159" s="7"/>
      <c r="V159" s="7" t="s">
        <v>168</v>
      </c>
      <c r="W159" s="21">
        <v>3298.11</v>
      </c>
      <c r="X159" s="7">
        <v>0.81810000000000005</v>
      </c>
      <c r="Y159" s="21"/>
    </row>
    <row r="160" spans="4:25" x14ac:dyDescent="0.3">
      <c r="D160" s="21"/>
      <c r="E160" s="7"/>
      <c r="F160" s="7"/>
      <c r="G160" s="7"/>
      <c r="H160" s="7"/>
      <c r="V160" s="7" t="s">
        <v>169</v>
      </c>
      <c r="W160" s="21">
        <v>6593.62</v>
      </c>
      <c r="X160" s="7">
        <v>0.83069999999999999</v>
      </c>
      <c r="Y160" s="21"/>
    </row>
    <row r="161" spans="4:25" x14ac:dyDescent="0.3">
      <c r="D161" s="21"/>
      <c r="E161" s="7"/>
      <c r="F161" s="7"/>
      <c r="G161" s="7"/>
      <c r="H161" s="7"/>
      <c r="V161" s="7" t="s">
        <v>170</v>
      </c>
      <c r="W161" s="21">
        <v>6646.84</v>
      </c>
      <c r="X161" s="7">
        <v>0.83840000000000003</v>
      </c>
      <c r="Y161" s="21"/>
    </row>
    <row r="162" spans="4:25" x14ac:dyDescent="0.3">
      <c r="D162" s="21"/>
      <c r="E162" s="7"/>
      <c r="F162" s="7"/>
      <c r="G162" s="7"/>
      <c r="H162" s="7"/>
      <c r="V162" s="7" t="s">
        <v>171</v>
      </c>
      <c r="W162" s="21">
        <v>3361.07</v>
      </c>
      <c r="X162" s="7">
        <v>0.84240000000000004</v>
      </c>
      <c r="Y162" s="21"/>
    </row>
    <row r="163" spans="4:25" x14ac:dyDescent="0.3">
      <c r="D163" s="21"/>
      <c r="E163" s="7"/>
      <c r="F163" s="7"/>
      <c r="G163" s="7"/>
      <c r="H163" s="7"/>
      <c r="V163" s="7" t="s">
        <v>172</v>
      </c>
      <c r="W163" s="21">
        <v>6120.61</v>
      </c>
      <c r="X163" s="7">
        <v>0.85119999999999996</v>
      </c>
      <c r="Y163" s="21"/>
    </row>
    <row r="164" spans="4:25" x14ac:dyDescent="0.3">
      <c r="D164" s="21"/>
      <c r="E164" s="7"/>
      <c r="F164" s="7"/>
      <c r="G164" s="7"/>
      <c r="H164" s="7"/>
      <c r="V164" s="7" t="s">
        <v>173</v>
      </c>
      <c r="W164" s="21">
        <v>6061.32</v>
      </c>
      <c r="X164" s="7">
        <v>0.84889999999999999</v>
      </c>
      <c r="Y164" s="21"/>
    </row>
    <row r="165" spans="4:25" x14ac:dyDescent="0.3">
      <c r="D165" s="21"/>
      <c r="E165" s="7"/>
      <c r="F165" s="7"/>
      <c r="G165" s="7"/>
      <c r="H165" s="7"/>
      <c r="V165" s="7" t="s">
        <v>174</v>
      </c>
      <c r="W165" s="21">
        <v>3185.81</v>
      </c>
      <c r="X165" s="7">
        <v>0.84699999999999998</v>
      </c>
      <c r="Y165" s="21"/>
    </row>
    <row r="166" spans="4:25" x14ac:dyDescent="0.3">
      <c r="D166" s="21"/>
      <c r="E166" s="7"/>
      <c r="F166" s="7"/>
      <c r="G166" s="7"/>
      <c r="H166" s="7"/>
      <c r="V166" s="7" t="s">
        <v>175</v>
      </c>
      <c r="W166" s="21">
        <v>5900.29</v>
      </c>
      <c r="X166" s="7">
        <v>0.86429999999999996</v>
      </c>
      <c r="Y166" s="21"/>
    </row>
    <row r="167" spans="4:25" x14ac:dyDescent="0.3">
      <c r="D167" s="21"/>
      <c r="E167" s="7"/>
      <c r="F167" s="7"/>
      <c r="G167" s="7"/>
      <c r="H167" s="7"/>
      <c r="V167" s="7" t="s">
        <v>176</v>
      </c>
      <c r="W167" s="21">
        <v>5734.57</v>
      </c>
      <c r="X167" s="7">
        <v>0.8669</v>
      </c>
      <c r="Y167" s="21"/>
    </row>
    <row r="168" spans="4:25" x14ac:dyDescent="0.3">
      <c r="D168" s="21"/>
      <c r="E168" s="7"/>
      <c r="F168" s="7"/>
      <c r="G168" s="7"/>
      <c r="H168" s="7"/>
      <c r="V168" s="7" t="s">
        <v>177</v>
      </c>
      <c r="W168" s="21">
        <v>2983.89</v>
      </c>
      <c r="X168" s="7">
        <v>0.86850000000000005</v>
      </c>
      <c r="Y168" s="21"/>
    </row>
    <row r="169" spans="4:25" x14ac:dyDescent="0.3">
      <c r="D169" s="21"/>
      <c r="E169" s="7"/>
      <c r="F169" s="7"/>
      <c r="G169" s="7"/>
      <c r="H169" s="7"/>
      <c r="V169" s="7" t="s">
        <v>178</v>
      </c>
      <c r="W169" s="21">
        <v>5793.34</v>
      </c>
      <c r="X169" s="7">
        <v>0.85589999999999999</v>
      </c>
      <c r="Y169" s="21"/>
    </row>
    <row r="170" spans="4:25" x14ac:dyDescent="0.3">
      <c r="D170" s="21"/>
      <c r="E170" s="7"/>
      <c r="F170" s="7"/>
      <c r="G170" s="7"/>
      <c r="H170" s="7"/>
      <c r="V170" s="7" t="s">
        <v>179</v>
      </c>
      <c r="W170" s="21">
        <v>5951.14</v>
      </c>
      <c r="X170" s="7">
        <v>0.86539999999999995</v>
      </c>
      <c r="Y170" s="21"/>
    </row>
    <row r="171" spans="4:25" x14ac:dyDescent="0.3">
      <c r="D171" s="21"/>
      <c r="E171" s="7"/>
      <c r="F171" s="7"/>
      <c r="G171" s="7"/>
      <c r="H171" s="7"/>
      <c r="V171" s="7" t="s">
        <v>180</v>
      </c>
      <c r="W171" s="21">
        <v>2944.01</v>
      </c>
      <c r="X171" s="7">
        <v>0.87</v>
      </c>
      <c r="Y171" s="21"/>
    </row>
    <row r="172" spans="4:25" x14ac:dyDescent="0.3">
      <c r="D172" s="21"/>
      <c r="E172" s="7"/>
      <c r="F172" s="7"/>
      <c r="G172" s="7"/>
      <c r="H172" s="7"/>
      <c r="V172" s="7" t="s">
        <v>181</v>
      </c>
      <c r="W172" s="21">
        <v>5627.78</v>
      </c>
      <c r="X172" s="7">
        <v>0.42070000000000002</v>
      </c>
      <c r="Y172" s="21"/>
    </row>
    <row r="173" spans="4:25" x14ac:dyDescent="0.3">
      <c r="D173" s="21"/>
      <c r="E173" s="7"/>
      <c r="F173" s="7"/>
      <c r="G173" s="7"/>
      <c r="H173" s="7"/>
      <c r="V173" s="7" t="s">
        <v>182</v>
      </c>
      <c r="W173" s="21">
        <v>11017.98</v>
      </c>
      <c r="X173" s="7">
        <v>0.42099999999999999</v>
      </c>
      <c r="Y173" s="21"/>
    </row>
    <row r="174" spans="4:25" x14ac:dyDescent="0.3">
      <c r="D174" s="21"/>
      <c r="E174" s="7"/>
      <c r="F174" s="7"/>
      <c r="G174" s="7"/>
      <c r="H174" s="7"/>
      <c r="V174" s="7" t="s">
        <v>183</v>
      </c>
      <c r="W174" s="21">
        <v>3317.91</v>
      </c>
      <c r="X174" s="7">
        <v>0.4163</v>
      </c>
      <c r="Y174" s="21"/>
    </row>
    <row r="175" spans="4:25" x14ac:dyDescent="0.3">
      <c r="D175" s="21"/>
      <c r="E175" s="7"/>
      <c r="F175" s="7"/>
      <c r="G175" s="7"/>
      <c r="H175" s="7"/>
      <c r="V175" s="7" t="s">
        <v>184</v>
      </c>
      <c r="W175" s="21">
        <v>6477.94</v>
      </c>
      <c r="X175" s="7">
        <v>0.61890000000000001</v>
      </c>
      <c r="Y175" s="21"/>
    </row>
    <row r="176" spans="4:25" x14ac:dyDescent="0.3">
      <c r="D176" s="21"/>
      <c r="E176" s="7"/>
      <c r="F176" s="7"/>
      <c r="G176" s="7"/>
      <c r="H176" s="7"/>
      <c r="V176" s="7" t="s">
        <v>185</v>
      </c>
      <c r="W176" s="21">
        <v>9019.5</v>
      </c>
      <c r="X176" s="7">
        <v>0.62060000000000004</v>
      </c>
      <c r="Y176" s="21"/>
    </row>
    <row r="177" spans="4:25" x14ac:dyDescent="0.3">
      <c r="D177" s="21"/>
      <c r="E177" s="7"/>
      <c r="F177" s="7"/>
      <c r="G177" s="7"/>
      <c r="H177" s="7"/>
      <c r="V177" s="7" t="s">
        <v>186</v>
      </c>
      <c r="W177" s="21">
        <v>3539.11</v>
      </c>
      <c r="X177" s="7">
        <v>0.63790000000000002</v>
      </c>
      <c r="Y177" s="21"/>
    </row>
    <row r="178" spans="4:25" x14ac:dyDescent="0.3">
      <c r="D178" s="21"/>
      <c r="E178" s="7"/>
      <c r="F178" s="7"/>
      <c r="G178" s="7"/>
      <c r="H178" s="7"/>
      <c r="V178" s="7" t="s">
        <v>187</v>
      </c>
      <c r="W178" s="21">
        <v>6178.15</v>
      </c>
      <c r="X178" s="7">
        <v>0.72230000000000005</v>
      </c>
      <c r="Y178" s="21"/>
    </row>
    <row r="179" spans="4:25" x14ac:dyDescent="0.3">
      <c r="D179" s="21"/>
      <c r="E179" s="7"/>
      <c r="F179" s="7"/>
      <c r="G179" s="7"/>
      <c r="H179" s="7"/>
      <c r="V179" s="7" t="s">
        <v>188</v>
      </c>
      <c r="W179" s="21">
        <v>7064.49</v>
      </c>
      <c r="X179" s="7">
        <v>0.72130000000000005</v>
      </c>
      <c r="Y179" s="21"/>
    </row>
    <row r="180" spans="4:25" x14ac:dyDescent="0.3">
      <c r="D180" s="21"/>
      <c r="E180" s="7"/>
      <c r="F180" s="7"/>
      <c r="G180" s="7"/>
      <c r="H180" s="7"/>
      <c r="V180" s="7" t="s">
        <v>189</v>
      </c>
      <c r="W180" s="21">
        <v>3464.61</v>
      </c>
      <c r="X180" s="7">
        <v>0.74009999999999998</v>
      </c>
      <c r="Y180" s="21"/>
    </row>
    <row r="181" spans="4:25" x14ac:dyDescent="0.3">
      <c r="D181" s="21"/>
      <c r="E181" s="7"/>
      <c r="F181" s="7"/>
      <c r="G181" s="7"/>
      <c r="H181" s="7"/>
      <c r="V181" s="7" t="s">
        <v>190</v>
      </c>
      <c r="W181" s="21">
        <v>5119.6899999999996</v>
      </c>
      <c r="X181" s="7">
        <v>0.85860000000000003</v>
      </c>
      <c r="Y181" s="21"/>
    </row>
    <row r="182" spans="4:25" x14ac:dyDescent="0.3">
      <c r="D182" s="21"/>
      <c r="E182" s="7"/>
      <c r="F182" s="7"/>
      <c r="G182" s="7"/>
      <c r="H182" s="7"/>
      <c r="V182" s="7" t="s">
        <v>191</v>
      </c>
      <c r="W182" s="21">
        <v>5911.89</v>
      </c>
      <c r="X182" s="7">
        <v>0.85799999999999998</v>
      </c>
      <c r="Y182" s="21"/>
    </row>
    <row r="183" spans="4:25" x14ac:dyDescent="0.3">
      <c r="D183" s="21"/>
      <c r="E183" s="7"/>
      <c r="F183" s="7"/>
      <c r="G183" s="7"/>
      <c r="H183" s="7"/>
      <c r="V183" s="7" t="s">
        <v>192</v>
      </c>
      <c r="W183" s="21">
        <v>2983.07</v>
      </c>
      <c r="X183" s="7">
        <v>0.87439999999999996</v>
      </c>
      <c r="Y183" s="21"/>
    </row>
    <row r="184" spans="4:25" x14ac:dyDescent="0.3">
      <c r="D184" s="21"/>
      <c r="E184" s="7"/>
      <c r="F184" s="7"/>
      <c r="G184" s="7"/>
      <c r="H184" s="7"/>
      <c r="V184" s="7" t="s">
        <v>193</v>
      </c>
      <c r="W184" s="21">
        <v>4882.9799999999996</v>
      </c>
      <c r="X184" s="7">
        <v>0.92210000000000003</v>
      </c>
      <c r="Y184" s="21"/>
    </row>
    <row r="185" spans="4:25" x14ac:dyDescent="0.3">
      <c r="D185" s="21"/>
      <c r="E185" s="7"/>
      <c r="F185" s="7"/>
      <c r="G185" s="7"/>
      <c r="H185" s="7"/>
      <c r="V185" s="7" t="s">
        <v>194</v>
      </c>
      <c r="W185" s="21">
        <v>5137.97</v>
      </c>
      <c r="X185" s="7">
        <v>0.92449999999999999</v>
      </c>
      <c r="Y185" s="21"/>
    </row>
    <row r="186" spans="4:25" x14ac:dyDescent="0.3">
      <c r="D186" s="21"/>
      <c r="E186" s="7"/>
      <c r="F186" s="7"/>
      <c r="G186" s="7"/>
      <c r="H186" s="7"/>
      <c r="V186" s="7" t="s">
        <v>195</v>
      </c>
      <c r="W186" s="21">
        <v>2736.28</v>
      </c>
      <c r="X186" s="7">
        <v>0.9224</v>
      </c>
      <c r="Y186" s="21"/>
    </row>
    <row r="187" spans="4:25" x14ac:dyDescent="0.3">
      <c r="D187" s="21"/>
      <c r="E187" s="7"/>
      <c r="F187" s="7"/>
      <c r="G187" s="7"/>
      <c r="H187" s="7"/>
      <c r="V187" s="7" t="s">
        <v>196</v>
      </c>
      <c r="W187" s="21">
        <v>4680.33</v>
      </c>
      <c r="X187" s="7">
        <v>0.94630000000000003</v>
      </c>
      <c r="Y187" s="21"/>
    </row>
    <row r="188" spans="4:25" x14ac:dyDescent="0.3">
      <c r="D188" s="21"/>
      <c r="E188" s="7"/>
      <c r="F188" s="7"/>
      <c r="G188" s="7"/>
      <c r="H188" s="7"/>
      <c r="V188" s="7" t="s">
        <v>197</v>
      </c>
      <c r="W188" s="21">
        <v>5027.62</v>
      </c>
      <c r="X188" s="7">
        <v>0.95109999999999995</v>
      </c>
      <c r="Y188" s="21"/>
    </row>
    <row r="189" spans="4:25" x14ac:dyDescent="0.3">
      <c r="V189" s="7" t="s">
        <v>198</v>
      </c>
      <c r="W189" s="21">
        <v>2575.71</v>
      </c>
      <c r="X189" s="7">
        <v>0.95240000000000002</v>
      </c>
      <c r="Y189" s="21"/>
    </row>
    <row r="190" spans="4:25" x14ac:dyDescent="0.3">
      <c r="V190" s="7" t="s">
        <v>199</v>
      </c>
      <c r="W190" s="21">
        <v>4490.46</v>
      </c>
      <c r="X190" s="7">
        <v>0.95579999999999998</v>
      </c>
      <c r="Y190" s="21"/>
    </row>
    <row r="191" spans="4:25" x14ac:dyDescent="0.3">
      <c r="V191" s="7" t="s">
        <v>200</v>
      </c>
      <c r="W191" s="21">
        <v>3682.78</v>
      </c>
      <c r="X191" s="7">
        <v>0.96209999999999996</v>
      </c>
      <c r="Y191" s="21"/>
    </row>
    <row r="192" spans="4:25" x14ac:dyDescent="0.3">
      <c r="V192" s="7" t="s">
        <v>201</v>
      </c>
      <c r="W192" s="21">
        <v>2581.9499999999998</v>
      </c>
      <c r="X192" s="7">
        <v>0.95269999999999999</v>
      </c>
      <c r="Y192" s="21"/>
    </row>
    <row r="193" spans="9:25" x14ac:dyDescent="0.3">
      <c r="V193" s="7" t="s">
        <v>202</v>
      </c>
      <c r="W193" s="21">
        <v>4304.78</v>
      </c>
      <c r="X193" s="7">
        <v>0.94340000000000002</v>
      </c>
      <c r="Y193" s="21"/>
    </row>
    <row r="194" spans="9:25" x14ac:dyDescent="0.3">
      <c r="V194" s="7" t="s">
        <v>203</v>
      </c>
      <c r="W194" s="21">
        <v>4619.17</v>
      </c>
      <c r="X194" s="7">
        <v>0.95169999999999999</v>
      </c>
      <c r="Y194" s="21"/>
    </row>
    <row r="195" spans="9:25" x14ac:dyDescent="0.3">
      <c r="V195" s="7" t="s">
        <v>204</v>
      </c>
      <c r="W195" s="21">
        <v>2447.7399999999998</v>
      </c>
      <c r="X195" s="7">
        <v>0.94299999999999995</v>
      </c>
      <c r="Y195" s="21"/>
    </row>
    <row r="196" spans="9:25" x14ac:dyDescent="0.3">
      <c r="I196" s="21"/>
      <c r="J196" s="7"/>
      <c r="V196" s="7" t="s">
        <v>205</v>
      </c>
      <c r="W196" s="21">
        <v>4994.79</v>
      </c>
      <c r="X196" s="7">
        <v>0.2162</v>
      </c>
      <c r="Y196" s="21"/>
    </row>
    <row r="197" spans="9:25" x14ac:dyDescent="0.3">
      <c r="I197" s="21"/>
      <c r="J197" s="7"/>
      <c r="V197" s="7" t="s">
        <v>206</v>
      </c>
      <c r="W197" s="21">
        <v>5434.53</v>
      </c>
      <c r="X197" s="7">
        <v>0.215</v>
      </c>
      <c r="Y197" s="21"/>
    </row>
    <row r="198" spans="9:25" x14ac:dyDescent="0.3">
      <c r="I198" s="21"/>
      <c r="J198" s="7"/>
      <c r="V198" s="7" t="s">
        <v>207</v>
      </c>
      <c r="W198" s="21">
        <v>2872.35</v>
      </c>
      <c r="X198" s="7">
        <v>0.20380000000000001</v>
      </c>
      <c r="Y198" s="21"/>
    </row>
    <row r="199" spans="9:25" x14ac:dyDescent="0.3">
      <c r="V199" s="7" t="s">
        <v>208</v>
      </c>
      <c r="W199" s="21">
        <v>4756.67</v>
      </c>
      <c r="X199" s="7">
        <v>0.65749999999999997</v>
      </c>
      <c r="Y199" s="21"/>
    </row>
    <row r="200" spans="9:25" x14ac:dyDescent="0.3">
      <c r="M200" s="21"/>
      <c r="V200" s="7" t="s">
        <v>209</v>
      </c>
      <c r="W200" s="21">
        <v>6201.83</v>
      </c>
      <c r="X200" s="7">
        <v>0.66059999999999997</v>
      </c>
      <c r="Y200" s="21"/>
    </row>
    <row r="201" spans="9:25" x14ac:dyDescent="0.3">
      <c r="M201" s="21"/>
      <c r="V201" s="7" t="s">
        <v>210</v>
      </c>
      <c r="W201" s="21">
        <v>2750.68</v>
      </c>
      <c r="X201" s="7">
        <v>0.65369999999999995</v>
      </c>
      <c r="Y201" s="21"/>
    </row>
    <row r="202" spans="9:25" x14ac:dyDescent="0.3">
      <c r="M202" s="21"/>
      <c r="V202" s="7" t="s">
        <v>211</v>
      </c>
      <c r="W202" s="21">
        <v>5455.37</v>
      </c>
      <c r="X202" s="7">
        <v>0.77100000000000002</v>
      </c>
      <c r="Y202" s="21"/>
    </row>
    <row r="203" spans="9:25" x14ac:dyDescent="0.3">
      <c r="M203" s="21"/>
      <c r="V203" s="7" t="s">
        <v>212</v>
      </c>
      <c r="W203" s="21">
        <v>6869.73</v>
      </c>
      <c r="X203" s="7">
        <v>0.76249999999999996</v>
      </c>
      <c r="Y203" s="21"/>
    </row>
    <row r="204" spans="9:25" x14ac:dyDescent="0.3">
      <c r="M204" s="21"/>
      <c r="V204" s="7" t="s">
        <v>213</v>
      </c>
      <c r="W204" s="21">
        <v>2817.37</v>
      </c>
      <c r="X204" s="7">
        <v>0.75490000000000002</v>
      </c>
      <c r="Y204" s="21"/>
    </row>
    <row r="205" spans="9:25" x14ac:dyDescent="0.3">
      <c r="M205" s="21"/>
      <c r="V205" s="7" t="s">
        <v>214</v>
      </c>
      <c r="W205" s="21">
        <v>5609.11</v>
      </c>
      <c r="X205" s="7">
        <v>0.81310000000000004</v>
      </c>
      <c r="Y205" s="21"/>
    </row>
    <row r="206" spans="9:25" x14ac:dyDescent="0.3">
      <c r="M206" s="21"/>
      <c r="V206" s="7" t="s">
        <v>215</v>
      </c>
      <c r="W206" s="21">
        <v>6854.56</v>
      </c>
      <c r="X206" s="7">
        <v>0.81950000000000001</v>
      </c>
      <c r="Y206" s="21"/>
    </row>
    <row r="207" spans="9:25" x14ac:dyDescent="0.3">
      <c r="M207" s="21"/>
      <c r="V207" s="7" t="s">
        <v>216</v>
      </c>
      <c r="W207" s="21">
        <v>2938.31</v>
      </c>
      <c r="X207" s="7">
        <v>0.80569999999999997</v>
      </c>
      <c r="Y207" s="21"/>
    </row>
    <row r="208" spans="9:25" x14ac:dyDescent="0.3">
      <c r="M208" s="21"/>
      <c r="V208" s="7" t="s">
        <v>217</v>
      </c>
      <c r="W208" s="21">
        <v>5729.61</v>
      </c>
      <c r="X208" s="7">
        <v>0.84599999999999997</v>
      </c>
      <c r="Y208" s="21"/>
    </row>
    <row r="209" spans="13:25" x14ac:dyDescent="0.3">
      <c r="M209" s="21"/>
      <c r="V209" s="7" t="s">
        <v>218</v>
      </c>
      <c r="W209" s="21">
        <v>6441.37</v>
      </c>
      <c r="X209" s="7">
        <v>0.85119999999999996</v>
      </c>
      <c r="Y209" s="21"/>
    </row>
    <row r="210" spans="13:25" x14ac:dyDescent="0.3">
      <c r="M210" s="21"/>
      <c r="V210" s="7" t="s">
        <v>219</v>
      </c>
      <c r="W210" s="21">
        <v>2963.06</v>
      </c>
      <c r="X210" s="7">
        <v>0.8448</v>
      </c>
      <c r="Y210" s="21"/>
    </row>
    <row r="211" spans="13:25" x14ac:dyDescent="0.3">
      <c r="M211" s="21"/>
      <c r="V211" s="7" t="s">
        <v>220</v>
      </c>
      <c r="W211" s="21">
        <v>5985.64</v>
      </c>
      <c r="X211" s="7">
        <v>0.86480000000000001</v>
      </c>
      <c r="Y211" s="21"/>
    </row>
    <row r="212" spans="13:25" x14ac:dyDescent="0.3">
      <c r="M212" s="21"/>
      <c r="V212" s="7" t="s">
        <v>221</v>
      </c>
      <c r="W212" s="21">
        <v>6110.32</v>
      </c>
      <c r="X212" s="7">
        <v>0.8639</v>
      </c>
      <c r="Y212" s="21"/>
    </row>
    <row r="213" spans="13:25" x14ac:dyDescent="0.3">
      <c r="M213" s="21"/>
      <c r="V213" s="7" t="s">
        <v>222</v>
      </c>
      <c r="W213" s="21">
        <v>2986.72</v>
      </c>
      <c r="X213" s="7">
        <v>0.86080000000000001</v>
      </c>
      <c r="Y213" s="21"/>
    </row>
    <row r="214" spans="13:25" x14ac:dyDescent="0.3">
      <c r="M214" s="21"/>
      <c r="V214" s="7" t="s">
        <v>223</v>
      </c>
      <c r="W214" s="21">
        <v>5927.44</v>
      </c>
      <c r="X214" s="7">
        <v>0.86529999999999996</v>
      </c>
      <c r="Y214" s="21"/>
    </row>
    <row r="215" spans="13:25" x14ac:dyDescent="0.3">
      <c r="M215" s="21"/>
      <c r="V215" s="7" t="s">
        <v>224</v>
      </c>
      <c r="W215" s="21">
        <v>5863.96</v>
      </c>
      <c r="X215" s="7">
        <v>0.87239999999999995</v>
      </c>
      <c r="Y215" s="21"/>
    </row>
    <row r="216" spans="13:25" x14ac:dyDescent="0.3">
      <c r="M216" s="21"/>
      <c r="V216" s="7" t="s">
        <v>225</v>
      </c>
      <c r="W216" s="21">
        <v>2875.71</v>
      </c>
      <c r="X216" s="7">
        <v>0.87939999999999996</v>
      </c>
      <c r="Y216" s="21"/>
    </row>
    <row r="217" spans="13:25" x14ac:dyDescent="0.3">
      <c r="M217" s="21"/>
      <c r="V217" s="7" t="s">
        <v>226</v>
      </c>
      <c r="W217" s="21">
        <v>6067.22</v>
      </c>
      <c r="X217" s="7">
        <v>0.86839999999999995</v>
      </c>
      <c r="Y217" s="21"/>
    </row>
    <row r="218" spans="13:25" x14ac:dyDescent="0.3">
      <c r="M218" s="21"/>
      <c r="U218" s="4"/>
      <c r="V218" s="7" t="s">
        <v>227</v>
      </c>
      <c r="W218" s="21">
        <v>5776.88</v>
      </c>
      <c r="X218" s="7">
        <v>0.87250000000000005</v>
      </c>
      <c r="Y218" s="21"/>
    </row>
    <row r="219" spans="13:25" x14ac:dyDescent="0.3">
      <c r="M219" s="21"/>
      <c r="U219" s="4"/>
      <c r="V219" s="7" t="s">
        <v>228</v>
      </c>
      <c r="W219" s="21">
        <v>2971.24</v>
      </c>
      <c r="X219" s="7">
        <v>0.88300000000000001</v>
      </c>
      <c r="Y219" s="21"/>
    </row>
    <row r="220" spans="13:25" x14ac:dyDescent="0.3">
      <c r="M220" s="21"/>
      <c r="U220" s="4"/>
      <c r="V220" s="7" t="s">
        <v>229</v>
      </c>
      <c r="W220" s="21">
        <v>5165.41</v>
      </c>
      <c r="X220" s="7">
        <v>0.97150000000000003</v>
      </c>
      <c r="Y220" s="21"/>
    </row>
    <row r="221" spans="13:25" x14ac:dyDescent="0.3">
      <c r="M221" s="21"/>
      <c r="U221" s="4"/>
      <c r="V221" s="7" t="s">
        <v>230</v>
      </c>
      <c r="W221" s="21">
        <v>4991.93</v>
      </c>
      <c r="X221" s="7">
        <v>0.96799999999999997</v>
      </c>
      <c r="Y221" s="21"/>
    </row>
    <row r="222" spans="13:25" x14ac:dyDescent="0.3">
      <c r="M222" s="21"/>
      <c r="U222" s="4"/>
      <c r="V222" s="7" t="s">
        <v>231</v>
      </c>
      <c r="W222" s="21">
        <v>2804.26</v>
      </c>
      <c r="X222" s="7">
        <v>0.96250000000000002</v>
      </c>
      <c r="Y222" s="21"/>
    </row>
    <row r="223" spans="13:25" x14ac:dyDescent="0.3">
      <c r="M223" s="21"/>
      <c r="U223" s="4"/>
      <c r="V223" s="7" t="s">
        <v>232</v>
      </c>
      <c r="W223" s="21">
        <v>5122.93</v>
      </c>
      <c r="X223" s="7">
        <v>0.96360000000000001</v>
      </c>
      <c r="Y223" s="21"/>
    </row>
    <row r="224" spans="13:25" x14ac:dyDescent="0.3">
      <c r="M224" s="21"/>
      <c r="U224" s="4"/>
      <c r="V224" s="7" t="s">
        <v>233</v>
      </c>
      <c r="W224" s="21">
        <v>4740.29</v>
      </c>
      <c r="X224" s="7">
        <v>0.97089999999999999</v>
      </c>
      <c r="Y224" s="21"/>
    </row>
    <row r="225" spans="13:25" x14ac:dyDescent="0.3">
      <c r="M225" s="21"/>
      <c r="U225" s="4"/>
      <c r="V225" s="7" t="s">
        <v>234</v>
      </c>
      <c r="W225" s="21">
        <v>2790.39</v>
      </c>
      <c r="X225" s="7">
        <v>0.96719999999999995</v>
      </c>
      <c r="Y225" s="21"/>
    </row>
    <row r="226" spans="13:25" x14ac:dyDescent="0.3">
      <c r="M226" s="21"/>
      <c r="U226" s="4"/>
      <c r="V226" s="7" t="s">
        <v>235</v>
      </c>
      <c r="W226" s="21">
        <v>15403.25</v>
      </c>
      <c r="X226" s="7">
        <v>0.66759999999999997</v>
      </c>
      <c r="Y226" s="21"/>
    </row>
    <row r="227" spans="13:25" x14ac:dyDescent="0.3">
      <c r="M227" s="21"/>
      <c r="U227" s="4"/>
      <c r="V227" s="7" t="s">
        <v>236</v>
      </c>
      <c r="W227" s="21">
        <v>14246.9</v>
      </c>
      <c r="X227" s="7">
        <v>0.65569999999999995</v>
      </c>
      <c r="Y227" s="21"/>
    </row>
    <row r="228" spans="13:25" x14ac:dyDescent="0.3">
      <c r="M228" s="21"/>
      <c r="U228" s="4"/>
      <c r="V228" s="7" t="s">
        <v>237</v>
      </c>
      <c r="W228" s="21">
        <v>2987.74</v>
      </c>
      <c r="X228" s="7">
        <v>0.67179999999999995</v>
      </c>
      <c r="Y228" s="21"/>
    </row>
    <row r="229" spans="13:25" x14ac:dyDescent="0.3">
      <c r="M229" s="21"/>
      <c r="U229" s="4"/>
      <c r="V229" s="7" t="s">
        <v>238</v>
      </c>
      <c r="W229" s="21">
        <v>14412.27</v>
      </c>
      <c r="X229" s="7">
        <v>0.67400000000000004</v>
      </c>
      <c r="Y229" s="21"/>
    </row>
    <row r="230" spans="13:25" x14ac:dyDescent="0.3">
      <c r="M230" s="21"/>
      <c r="U230" s="4"/>
      <c r="V230" s="7" t="s">
        <v>239</v>
      </c>
      <c r="W230" s="21">
        <v>12990.65</v>
      </c>
      <c r="X230" s="7">
        <v>0.65949999999999998</v>
      </c>
      <c r="Y230" s="21"/>
    </row>
    <row r="231" spans="13:25" x14ac:dyDescent="0.3">
      <c r="M231" s="21"/>
      <c r="U231" s="4"/>
      <c r="V231" s="7" t="s">
        <v>240</v>
      </c>
      <c r="W231" s="21">
        <v>2965.1</v>
      </c>
      <c r="X231" s="7">
        <v>0.66510000000000002</v>
      </c>
      <c r="Y231" s="21"/>
    </row>
    <row r="232" spans="13:25" x14ac:dyDescent="0.3">
      <c r="M232" s="21"/>
      <c r="U232" s="4"/>
      <c r="V232" s="7"/>
      <c r="W232" s="21"/>
      <c r="X232" s="7"/>
      <c r="Y232" s="21"/>
    </row>
    <row r="233" spans="13:25" x14ac:dyDescent="0.3">
      <c r="M233" s="21"/>
      <c r="U233" s="4"/>
      <c r="V233" s="7"/>
      <c r="W233" s="21"/>
      <c r="X233" s="7"/>
      <c r="Y233" s="21"/>
    </row>
    <row r="234" spans="13:25" x14ac:dyDescent="0.3">
      <c r="M234" s="21"/>
      <c r="U234" s="4"/>
      <c r="V234" s="7"/>
      <c r="W234" s="21"/>
      <c r="X234" s="7"/>
      <c r="Y234" s="21"/>
    </row>
    <row r="235" spans="13:25" x14ac:dyDescent="0.3">
      <c r="M235" s="21"/>
      <c r="U235" s="4"/>
      <c r="V235" s="7"/>
      <c r="W235" s="21"/>
      <c r="X235" s="7"/>
      <c r="Y235" s="21"/>
    </row>
    <row r="236" spans="13:25" x14ac:dyDescent="0.3">
      <c r="M236" s="21"/>
      <c r="U236" s="4"/>
      <c r="V236" s="7"/>
      <c r="W236" s="21"/>
      <c r="X236" s="7"/>
      <c r="Y236" s="21"/>
    </row>
    <row r="237" spans="13:25" x14ac:dyDescent="0.3">
      <c r="M237" s="21"/>
      <c r="U237" s="4"/>
      <c r="V237" s="7"/>
      <c r="W237" s="21"/>
      <c r="X237" s="7"/>
      <c r="Y237" s="21"/>
    </row>
    <row r="238" spans="13:25" x14ac:dyDescent="0.3">
      <c r="M238" s="21"/>
      <c r="U238" s="4"/>
      <c r="V238" s="7"/>
      <c r="W238" s="21"/>
      <c r="X238" s="7"/>
      <c r="Y238" s="21"/>
    </row>
    <row r="239" spans="13:25" x14ac:dyDescent="0.3">
      <c r="M239" s="21"/>
      <c r="U239" s="4"/>
      <c r="V239" s="7"/>
      <c r="W239" s="21"/>
      <c r="X239" s="7"/>
      <c r="Y239" s="21"/>
    </row>
    <row r="240" spans="13:25" x14ac:dyDescent="0.3">
      <c r="M240" s="21"/>
      <c r="U240" s="4"/>
      <c r="V240" s="7"/>
      <c r="W240" s="21"/>
      <c r="X240" s="7"/>
      <c r="Y240" s="21"/>
    </row>
    <row r="241" spans="13:25" x14ac:dyDescent="0.3">
      <c r="M241" s="21"/>
      <c r="U241" s="4"/>
      <c r="V241" s="7"/>
      <c r="W241" s="21"/>
      <c r="X241" s="7"/>
      <c r="Y241" s="21"/>
    </row>
    <row r="242" spans="13:25" x14ac:dyDescent="0.3">
      <c r="M242" s="21"/>
      <c r="U242" s="4"/>
      <c r="V242" s="7"/>
      <c r="W242" s="21"/>
      <c r="X242" s="7"/>
      <c r="Y242" s="21"/>
    </row>
    <row r="243" spans="13:25" x14ac:dyDescent="0.3">
      <c r="M243" s="21"/>
      <c r="U243" s="4"/>
      <c r="V243" s="7"/>
      <c r="W243" s="21"/>
      <c r="X243" s="7"/>
      <c r="Y243" s="21"/>
    </row>
    <row r="244" spans="13:25" x14ac:dyDescent="0.3">
      <c r="M244" s="21"/>
      <c r="U244" s="4"/>
      <c r="V244" s="7"/>
      <c r="W244" s="21"/>
      <c r="X244" s="7"/>
      <c r="Y244" s="21"/>
    </row>
    <row r="245" spans="13:25" x14ac:dyDescent="0.3">
      <c r="M245" s="21"/>
      <c r="U245" s="4"/>
      <c r="V245" s="7"/>
      <c r="W245" s="21"/>
      <c r="X245" s="7"/>
      <c r="Y245" s="21"/>
    </row>
    <row r="246" spans="13:25" x14ac:dyDescent="0.3">
      <c r="M246" s="21"/>
      <c r="U246" s="4"/>
      <c r="V246" s="7"/>
      <c r="W246" s="21"/>
      <c r="X246" s="7"/>
      <c r="Y246" s="21"/>
    </row>
    <row r="247" spans="13:25" x14ac:dyDescent="0.3">
      <c r="M247" s="21"/>
      <c r="U247" s="4"/>
      <c r="V247" s="7"/>
      <c r="W247" s="21"/>
      <c r="X247" s="7"/>
      <c r="Y247" s="21"/>
    </row>
    <row r="248" spans="13:25" x14ac:dyDescent="0.3">
      <c r="M248" s="21"/>
      <c r="U248" s="4"/>
      <c r="V248" s="7"/>
      <c r="W248" s="21"/>
      <c r="X248" s="7"/>
      <c r="Y248" s="21"/>
    </row>
    <row r="249" spans="13:25" x14ac:dyDescent="0.3">
      <c r="M249" s="21"/>
      <c r="U249" s="4"/>
      <c r="V249" s="7"/>
      <c r="W249" s="21"/>
      <c r="X249" s="7"/>
      <c r="Y249" s="21"/>
    </row>
    <row r="250" spans="13:25" x14ac:dyDescent="0.3">
      <c r="M250" s="21"/>
      <c r="U250" s="4"/>
      <c r="V250" s="7"/>
      <c r="W250" s="21"/>
      <c r="X250" s="7"/>
      <c r="Y250" s="21"/>
    </row>
    <row r="251" spans="13:25" x14ac:dyDescent="0.3">
      <c r="M251" s="21"/>
      <c r="U251" s="4"/>
      <c r="V251" s="7"/>
      <c r="W251" s="21"/>
      <c r="X251" s="7"/>
      <c r="Y251" s="21"/>
    </row>
    <row r="252" spans="13:25" x14ac:dyDescent="0.3">
      <c r="M252" s="21"/>
      <c r="U252" s="4"/>
      <c r="V252" s="7"/>
      <c r="W252" s="21"/>
      <c r="X252" s="7"/>
      <c r="Y252" s="21"/>
    </row>
    <row r="253" spans="13:25" x14ac:dyDescent="0.3">
      <c r="M253" s="21"/>
      <c r="U253" s="4"/>
      <c r="V253" s="7"/>
      <c r="W253" s="21"/>
      <c r="X253" s="7"/>
      <c r="Y253" s="21"/>
    </row>
    <row r="254" spans="13:25" x14ac:dyDescent="0.3">
      <c r="M254" s="21"/>
      <c r="U254" s="4"/>
      <c r="W254" s="21"/>
      <c r="X254" s="7"/>
      <c r="Y254" s="21"/>
    </row>
    <row r="255" spans="13:25" x14ac:dyDescent="0.3">
      <c r="M255" s="21"/>
      <c r="U255" s="4"/>
      <c r="W255" s="21"/>
      <c r="X255" s="7"/>
    </row>
    <row r="256" spans="13:25" x14ac:dyDescent="0.3">
      <c r="M256" s="21"/>
      <c r="U256" s="4"/>
      <c r="W256" s="21"/>
      <c r="X256" s="7"/>
    </row>
    <row r="257" spans="21:24" x14ac:dyDescent="0.3">
      <c r="U257" s="4"/>
      <c r="W257" s="21"/>
      <c r="X257" s="7"/>
    </row>
    <row r="258" spans="21:24" x14ac:dyDescent="0.3">
      <c r="U258" s="4"/>
      <c r="W258" s="21"/>
      <c r="X258" s="7"/>
    </row>
    <row r="259" spans="21:24" x14ac:dyDescent="0.3">
      <c r="U259" s="4"/>
      <c r="W259" s="21"/>
      <c r="X259" s="7"/>
    </row>
    <row r="260" spans="21:24" x14ac:dyDescent="0.3">
      <c r="U260" s="4"/>
      <c r="W260" s="21"/>
      <c r="X260" s="7"/>
    </row>
    <row r="261" spans="21:24" x14ac:dyDescent="0.3">
      <c r="U261" s="4"/>
      <c r="W261" s="21"/>
      <c r="X261" s="7"/>
    </row>
    <row r="262" spans="21:24" x14ac:dyDescent="0.3">
      <c r="U262" s="4"/>
      <c r="W262" s="21"/>
      <c r="X262" s="7"/>
    </row>
    <row r="263" spans="21:24" x14ac:dyDescent="0.3">
      <c r="U263" s="4"/>
      <c r="W263" s="21"/>
      <c r="X263" s="7"/>
    </row>
    <row r="264" spans="21:24" x14ac:dyDescent="0.3">
      <c r="U264" s="4"/>
      <c r="W264" s="21"/>
      <c r="X264" s="7"/>
    </row>
    <row r="265" spans="21:24" x14ac:dyDescent="0.3">
      <c r="U265" s="4"/>
      <c r="W265" s="21"/>
      <c r="X265" s="7"/>
    </row>
    <row r="266" spans="21:24" x14ac:dyDescent="0.3">
      <c r="U266" s="4"/>
    </row>
    <row r="267" spans="21:24" x14ac:dyDescent="0.3">
      <c r="U267" s="4"/>
    </row>
    <row r="268" spans="21:24" x14ac:dyDescent="0.3">
      <c r="U268" s="4"/>
    </row>
    <row r="269" spans="21:24" x14ac:dyDescent="0.3">
      <c r="U269" s="4"/>
    </row>
    <row r="270" spans="21:24" x14ac:dyDescent="0.3">
      <c r="U270" s="4"/>
    </row>
    <row r="271" spans="21:24" x14ac:dyDescent="0.3">
      <c r="U271" s="4"/>
    </row>
    <row r="272" spans="21:24" x14ac:dyDescent="0.3">
      <c r="U272" s="4"/>
    </row>
    <row r="273" spans="21:23" x14ac:dyDescent="0.3">
      <c r="U273" s="4"/>
    </row>
    <row r="274" spans="21:23" x14ac:dyDescent="0.3">
      <c r="U274" s="4"/>
    </row>
    <row r="275" spans="21:23" x14ac:dyDescent="0.3">
      <c r="U275" s="4"/>
      <c r="W275" s="21"/>
    </row>
    <row r="276" spans="21:23" x14ac:dyDescent="0.3">
      <c r="U276" s="4"/>
      <c r="W276" s="21"/>
    </row>
    <row r="277" spans="21:23" x14ac:dyDescent="0.3">
      <c r="U277" s="4"/>
      <c r="W277" s="21"/>
    </row>
    <row r="278" spans="21:23" x14ac:dyDescent="0.3">
      <c r="U278" s="4"/>
      <c r="W278" s="21"/>
    </row>
    <row r="279" spans="21:23" x14ac:dyDescent="0.3">
      <c r="U279" s="4"/>
      <c r="W279" s="21"/>
    </row>
    <row r="280" spans="21:23" x14ac:dyDescent="0.3">
      <c r="U280" s="4"/>
      <c r="W280" s="21"/>
    </row>
    <row r="281" spans="21:23" x14ac:dyDescent="0.3">
      <c r="U281" s="4"/>
      <c r="W281" s="21"/>
    </row>
    <row r="282" spans="21:23" x14ac:dyDescent="0.3">
      <c r="U282" s="4"/>
      <c r="W282" s="21"/>
    </row>
    <row r="283" spans="21:23" x14ac:dyDescent="0.3">
      <c r="U283" s="4"/>
      <c r="W283" s="21"/>
    </row>
    <row r="284" spans="21:23" x14ac:dyDescent="0.3">
      <c r="U284" s="4"/>
      <c r="W284" s="21"/>
    </row>
    <row r="285" spans="21:23" x14ac:dyDescent="0.3">
      <c r="U285" s="4"/>
      <c r="W285" s="21"/>
    </row>
    <row r="286" spans="21:23" x14ac:dyDescent="0.3">
      <c r="U286" s="4"/>
      <c r="W286" s="21"/>
    </row>
    <row r="287" spans="21:23" x14ac:dyDescent="0.3">
      <c r="U287" s="4"/>
    </row>
    <row r="288" spans="21:23" x14ac:dyDescent="0.3">
      <c r="U288" s="4"/>
    </row>
    <row r="289" spans="21:21" x14ac:dyDescent="0.3">
      <c r="U289" s="4"/>
    </row>
  </sheetData>
  <mergeCells count="12">
    <mergeCell ref="A23:A30"/>
    <mergeCell ref="I23:I30"/>
    <mergeCell ref="A31:A38"/>
    <mergeCell ref="I31:I38"/>
    <mergeCell ref="A39:A46"/>
    <mergeCell ref="I39:I46"/>
    <mergeCell ref="A3:A6"/>
    <mergeCell ref="I3:I6"/>
    <mergeCell ref="A7:A14"/>
    <mergeCell ref="I7:I14"/>
    <mergeCell ref="A15:A22"/>
    <mergeCell ref="I15:I22"/>
  </mergeCells>
  <conditionalFormatting sqref="A88 A86">
    <cfRule type="containsErrors" dxfId="58" priority="28">
      <formula>ISERROR(A86)</formula>
    </cfRule>
  </conditionalFormatting>
  <conditionalFormatting sqref="A88">
    <cfRule type="cellIs" dxfId="57" priority="26" operator="greaterThanOrEqual">
      <formula>2000</formula>
    </cfRule>
  </conditionalFormatting>
  <conditionalFormatting sqref="B71:E71 B78:E78">
    <cfRule type="notContainsBlanks" dxfId="56" priority="27">
      <formula>LEN(TRIM(B71))&gt;0</formula>
    </cfRule>
  </conditionalFormatting>
  <conditionalFormatting sqref="F5:F14">
    <cfRule type="cellIs" dxfId="55" priority="8" operator="greaterThan">
      <formula>150</formula>
    </cfRule>
    <cfRule type="cellIs" dxfId="54" priority="9" operator="lessThan">
      <formula>150</formula>
    </cfRule>
  </conditionalFormatting>
  <conditionalFormatting sqref="F23:F46">
    <cfRule type="cellIs" dxfId="53" priority="12" operator="greaterThan">
      <formula>150</formula>
    </cfRule>
    <cfRule type="cellIs" dxfId="52" priority="13" operator="lessThan">
      <formula>150</formula>
    </cfRule>
  </conditionalFormatting>
  <conditionalFormatting sqref="G5:G14">
    <cfRule type="cellIs" dxfId="51" priority="6" operator="lessThan">
      <formula>200</formula>
    </cfRule>
    <cfRule type="cellIs" dxfId="50" priority="7" operator="greaterThan">
      <formula>200</formula>
    </cfRule>
  </conditionalFormatting>
  <conditionalFormatting sqref="G71:H71 G78:H78">
    <cfRule type="notContainsBlanks" dxfId="49" priority="25">
      <formula>LEN(TRIM(G71))&gt;0</formula>
    </cfRule>
  </conditionalFormatting>
  <conditionalFormatting sqref="H3:H14 H23:H46">
    <cfRule type="cellIs" dxfId="48" priority="5" operator="lessThan">
      <formula>50</formula>
    </cfRule>
  </conditionalFormatting>
  <conditionalFormatting sqref="N7:N46">
    <cfRule type="cellIs" dxfId="47" priority="2" operator="greaterThan">
      <formula>150</formula>
    </cfRule>
    <cfRule type="cellIs" dxfId="46" priority="3" operator="lessThan">
      <formula>150</formula>
    </cfRule>
  </conditionalFormatting>
  <conditionalFormatting sqref="O7:O46 G23:G46">
    <cfRule type="cellIs" dxfId="45" priority="10" operator="lessThan">
      <formula>200</formula>
    </cfRule>
    <cfRule type="cellIs" dxfId="44" priority="11" operator="greaterThan">
      <formula>200</formula>
    </cfRule>
  </conditionalFormatting>
  <conditionalFormatting sqref="P7:P46">
    <cfRule type="cellIs" dxfId="43" priority="4" operator="lessThan">
      <formula>50</formula>
    </cfRule>
  </conditionalFormatting>
  <conditionalFormatting sqref="Q3:R4">
    <cfRule type="cellIs" dxfId="42" priority="1" operator="lessThan">
      <formula>105.1</formula>
    </cfRule>
  </conditionalFormatting>
  <printOptions horizontalCentered="1"/>
  <pageMargins left="0.14000000000000001" right="0.13" top="1.04" bottom="0.28999999999999998" header="0.6" footer="0.13"/>
  <pageSetup scale="63" orientation="landscape" r:id="rId1"/>
  <headerFooter scaleWithDoc="0">
    <oddHeader>&amp;CNIEHSO 20180515
RFI Values
BRTIV 14, 120, 161-168 - Run 2</oddHeader>
    <oddFooter>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FFFF"/>
  </sheetPr>
  <dimension ref="A1:X36"/>
  <sheetViews>
    <sheetView zoomScaleNormal="100" workbookViewId="0">
      <selection activeCell="A17" sqref="A17:XFD18"/>
    </sheetView>
  </sheetViews>
  <sheetFormatPr defaultRowHeight="14.4" x14ac:dyDescent="0.3"/>
  <cols>
    <col min="1" max="1" width="13.5546875" bestFit="1" customWidth="1"/>
    <col min="2" max="2" width="15.6640625" customWidth="1"/>
    <col min="3" max="3" width="13.44140625" customWidth="1"/>
    <col min="4" max="4" width="8.6640625" style="60" customWidth="1"/>
    <col min="5" max="5" width="9.109375" style="22"/>
    <col min="6" max="6" width="9.109375" style="60"/>
    <col min="7" max="7" width="9.109375" style="22"/>
    <col min="8" max="8" width="10.88671875" style="22" customWidth="1"/>
    <col min="9" max="9" width="9.109375" style="60"/>
    <col min="10" max="10" width="9.109375" style="22"/>
    <col min="11" max="11" width="9.5546875" style="60" customWidth="1"/>
    <col min="12" max="13" width="9.109375" style="22"/>
    <col min="14" max="14" width="9.6640625" customWidth="1"/>
  </cols>
  <sheetData>
    <row r="1" spans="1:17" ht="18" x14ac:dyDescent="0.35">
      <c r="A1" s="83"/>
      <c r="B1" s="83"/>
      <c r="C1" s="83"/>
      <c r="D1" s="178" t="s">
        <v>91</v>
      </c>
      <c r="E1" s="179"/>
      <c r="F1" s="179"/>
      <c r="G1" s="179"/>
      <c r="H1" s="179"/>
      <c r="I1" s="179"/>
      <c r="J1" s="179"/>
      <c r="K1" s="179"/>
      <c r="L1" s="179"/>
      <c r="M1" s="180"/>
    </row>
    <row r="2" spans="1:17" ht="18" x14ac:dyDescent="0.35">
      <c r="A2" s="181" t="s">
        <v>1</v>
      </c>
      <c r="B2" s="182" t="s">
        <v>271</v>
      </c>
      <c r="C2" s="184" t="s">
        <v>268</v>
      </c>
      <c r="D2" s="186" t="s">
        <v>269</v>
      </c>
      <c r="E2" s="187"/>
      <c r="F2" s="187"/>
      <c r="G2" s="187"/>
      <c r="H2" s="188"/>
      <c r="I2" s="186" t="s">
        <v>270</v>
      </c>
      <c r="J2" s="187"/>
      <c r="K2" s="187"/>
      <c r="L2" s="187"/>
      <c r="M2" s="188"/>
    </row>
    <row r="3" spans="1:17" ht="18" x14ac:dyDescent="0.35">
      <c r="A3" s="181"/>
      <c r="B3" s="183"/>
      <c r="C3" s="185"/>
      <c r="D3" s="84" t="s">
        <v>288</v>
      </c>
      <c r="E3" s="85" t="s">
        <v>279</v>
      </c>
      <c r="F3" s="86" t="s">
        <v>280</v>
      </c>
      <c r="G3" s="85" t="s">
        <v>281</v>
      </c>
      <c r="H3" s="87" t="s">
        <v>266</v>
      </c>
      <c r="I3" s="84" t="s">
        <v>278</v>
      </c>
      <c r="J3" s="85" t="s">
        <v>279</v>
      </c>
      <c r="K3" s="86" t="s">
        <v>280</v>
      </c>
      <c r="L3" s="85" t="s">
        <v>281</v>
      </c>
      <c r="M3" s="87" t="s">
        <v>266</v>
      </c>
    </row>
    <row r="4" spans="1:17" x14ac:dyDescent="0.3">
      <c r="A4" s="93" t="str">
        <f>'Starting Concentrations'!$A$2</f>
        <v>BPA</v>
      </c>
      <c r="B4" s="94" t="str">
        <f>IF(AND(COUNTIFS('Run 2'!$F$23:$F$30,"&gt;150",'Run 2'!$H$23:$H$30,"&gt;50")=0,COUNTIFS('Run 2'!$G$23:$G$30,"&gt;200",'Run 2'!$H$23:$H$30,"&gt;50")=0),"Non-sensitizer","Sensitizer")</f>
        <v>Sensitizer</v>
      </c>
      <c r="C4" s="95" t="str">
        <f>IF($B$4="Non-Sensitizer",IF(AND(OR('Starting Concentrations'!$B$2=5000,'Starting Concentrations'!$B$2=1000),COUNTIF('Run 2'!$H$23:$H$30,"&gt;50")&gt;=4),"Yes",IF(AND('Run 2'!$H$23&lt;90,COUNTIF('Run 2'!$H$23:$H$30,"&gt;50")&gt;=4),"Yes","No")),IF(COUNTIF('Run 2'!$H$23:$H$30,"&gt;50")&gt;=4,"Yes","No"))</f>
        <v>Yes</v>
      </c>
      <c r="D4" s="96" t="str">
        <f>IF(_xlfn.MINIFS('Run 2'!$B$23:$B$30,'Run 2'!$H$23:$H$30,"&gt;50",'Run 2'!$F$23:$F$30,"&gt;150")&gt;0,_xlfn.MINIFS('Run 2'!$B$23:$B$30,'Run 2'!$H$23:$H$30,"&gt;50",'Run 2'!$F$23:$F$30,"&gt;150"),"")</f>
        <v/>
      </c>
      <c r="E4" s="92" t="str">
        <f>IF($D4="","",VLOOKUP($D4,'Run 2'!$B$23:$F$30,5,FALSE))</f>
        <v/>
      </c>
      <c r="F4" s="97" t="str">
        <f>IF(_xlfn.MAXIFS('Run 2'!$B$23:$B$30,'Run 2'!$B$23:$B$30,"&lt;"&amp;D4)&gt;0,_xlfn.MAXIFS('Run 2'!$B$23:$B$30,'Run 2'!$B$23:$B$30,"&lt;"&amp;D4),"")</f>
        <v/>
      </c>
      <c r="G4" s="89" t="str">
        <f>IF($F4="","",VLOOKUP($F4,'Run 2'!$B$23:$F$30,5,FALSE))</f>
        <v/>
      </c>
      <c r="H4" s="98" t="str">
        <f>IF(COUNTBLANK(D4:G4)=0,$F$4+((150-$G$4)/($E$4-$G$4)*($D$4-$F$4)),"")</f>
        <v/>
      </c>
      <c r="I4" s="96" t="str">
        <f>IF(_xlfn.MINIFS('Run 2'!$B$27:$B$29,'Run 2'!$F$27:$F$29,"&gt;150",'Run 2'!$F$27:$F$29,"&gt;"&amp;('Run 2'!$F$30*0.1+'Run 2'!$F$30))&gt;0,_xlfn.MINIFS('Run 2'!$B$27:$B$29,'Run 2'!$F$27:$F$29,"&gt;"&amp;('Run 2'!$F$30*0.1+'Run 2'!$F$30)),"")</f>
        <v/>
      </c>
      <c r="J4" s="89" t="str">
        <f>IF($I4="","",VLOOKUP($I4,'Run 2'!$B$23:$F$30,5,FALSE))</f>
        <v/>
      </c>
      <c r="K4" s="91" t="str">
        <f>IF(I4="","",'Run 2'!$B$30)</f>
        <v/>
      </c>
      <c r="L4" s="92" t="str">
        <f>IF(I4="","",'Run 2'!$F$30)</f>
        <v/>
      </c>
      <c r="M4" s="98" t="str">
        <f>IF(COUNTBLANK($I$4:$L$4)=0,2^(LOG($K$4,2)+(150-$L$4)/($J$4-$L$4)*(LOG($I$4,2)-LOG($K$4,2))),"")</f>
        <v/>
      </c>
      <c r="P4" s="4"/>
      <c r="Q4" s="4"/>
    </row>
    <row r="5" spans="1:17" x14ac:dyDescent="0.3">
      <c r="A5" s="93" t="str">
        <f>'Starting Concentrations'!$A$3</f>
        <v>BPAF</v>
      </c>
      <c r="B5" s="94" t="str">
        <f>IF(AND(COUNTIFS('Run 2'!$F$31:$F$38,"&gt;150",'Run 2'!$H$31:$H$38,"&gt;50")=0,COUNTIFS('Run 2'!$G$31:$G$38,"&gt;200",'Run 2'!$H$31:$H$38,"&gt;50")=0),"Non-sensitizer","Sensitizer")</f>
        <v>Sensitizer</v>
      </c>
      <c r="C5" s="95" t="str">
        <f>IF($B$5="Non-Sensitizer",IF(AND(OR('Starting Concentrations'!$B$3=5000,'Starting Concentrations'!$B$3=1000),COUNTIF('Run 2'!$H$31:$H$38,"&gt;50")&gt;=4),"Yes",IF(AND('Run 2'!$H$31&lt;90,COUNTIF('Run 2'!$H$31:$H$38,"&gt;50")&gt;=4),"Yes","No")),IF(COUNTIF('Run 2'!$H$31:$H$38,"&gt;50")&gt;=4,"Yes","No"))</f>
        <v>Yes</v>
      </c>
      <c r="D5" s="96">
        <f>IF(_xlfn.MINIFS('Run 2'!$B$31:$B$38,'Run 2'!$H$31:$H$38,"&gt;50",'Run 2'!$F$31:$F$38,"&gt;150")&gt;0,_xlfn.MINIFS('Run 2'!$B$31:$B$38,'Run 2'!$H$31:$H$38,"&gt;50",'Run 2'!$F$31:$F$38,"&gt;150"),"")</f>
        <v>15.694444444444446</v>
      </c>
      <c r="E5" s="92">
        <f>IF($D5="","",VLOOKUP($D5,'Run 2'!$B$31:$F$38,5,FALSE))</f>
        <v>150.67179984051714</v>
      </c>
      <c r="F5" s="97">
        <f>IF(_xlfn.MAXIFS('Run 2'!$B$32:$B$38,'Run 2'!$B$32:$B$38,"&lt;"&amp;D5)&gt;0,_xlfn.MAXIFS('Run 2'!$B$32:$B$38,'Run 2'!$B$32:$B$38,"&lt;"&amp;D5),"")</f>
        <v>13.078703703703706</v>
      </c>
      <c r="G5" s="89">
        <f>IF($F5="","",VLOOKUP($F5,'Run 2'!$B$32:$F$38,5,FALSE))</f>
        <v>142.13175336757351</v>
      </c>
      <c r="H5" s="123">
        <f>IF(COUNTBLANK(D5:G5)=0,$F$5+((150-$G$5)/($E$5-$G$5)*($D$5-$F$5)),"")</f>
        <v>15.488678091997642</v>
      </c>
      <c r="I5" s="96" t="str">
        <f>IF(_xlfn.MINIFS('Run 2'!$B$35:$B$37,'Run 2'!$F$35:$F$37,"&gt;150",'Run 2'!$F$35:$F$37,"&gt;"&amp;('Run 2'!$F$38*0.1+'Run 2'!$F$38))&gt;0,_xlfn.MINIFS('Run 2'!$B$35:$B$37,'Run 2'!$F$35:$F$37,"&gt;"&amp;('Run 2'!$F$38*0.1+'Run 2'!$F$38)),"")</f>
        <v/>
      </c>
      <c r="J5" s="89" t="str">
        <f>IF($I5="","",VLOOKUP($I5,'Run 2'!$B$31:$F$38,5,FALSE))</f>
        <v/>
      </c>
      <c r="K5" s="91" t="str">
        <f>IF(I5="","",'Run 2'!$B$38)</f>
        <v/>
      </c>
      <c r="L5" s="92" t="str">
        <f>IF(I5="","",'Run 2'!$F$38)</f>
        <v/>
      </c>
      <c r="M5" s="98" t="str">
        <f>IF(COUNTBLANK($I$5:$L$5)=0,2^(LOG($K$5,2)+(150-$L$5)/($J$5-$L$5)*(LOG($I$5,2)-LOG($K$5,2))),"")</f>
        <v/>
      </c>
      <c r="P5" s="4"/>
      <c r="Q5" s="4"/>
    </row>
    <row r="6" spans="1:17" x14ac:dyDescent="0.3">
      <c r="A6" s="93" t="str">
        <f>'Starting Concentrations'!$A$4</f>
        <v>BPS</v>
      </c>
      <c r="B6" s="94" t="str">
        <f>IF(AND(COUNTIFS('Run 2'!$F$39:$F$46,"&gt;150",'Run 2'!$H$39:$H$46,"&gt;50")=0,COUNTIFS('Run 2'!$G$39:$G$46,"&gt;200",'Run 2'!$H$39:$H$46,"&gt;50")=0),"Non-sensitizer","Sensitizer")</f>
        <v>Non-sensitizer</v>
      </c>
      <c r="C6" s="95" t="str">
        <f>IF($B$6="Non-Sensitizer",IF(AND(OR('Starting Concentrations'!$B$4=5000,'Starting Concentrations'!$B$4=1000),COUNTIF('Run 2'!$H$39:$H$46,"&gt;50")&gt;=4),"Yes",IF(AND('Run 2'!$H$39&lt;90,COUNTIF('Run 2'!$H$39:$H$46,"&gt;50")&gt;=4),"Yes","No")),IF(COUNTIF('Run 2'!$H$39:$H$46,"&gt;50")&gt;=4,"Yes","No"))</f>
        <v>Yes</v>
      </c>
      <c r="D6" s="88" t="str">
        <f>IF(_xlfn.MINIFS('Run 2'!$B$39:$B$46,'Run 2'!$H$39:$H$46,"&gt;50",'Run 2'!$F$39:$F$46,"&gt;150")&gt;0,_xlfn.MINIFS('Run 2'!$B$39:$B$46,'Run 2'!$H$39:$H$46,"&gt;50",'Run 2'!$F$39:$F$46,"&gt;150"),"")</f>
        <v/>
      </c>
      <c r="E6" s="89" t="str">
        <f>IF($D6="","",VLOOKUP($D6,'Run 2'!$B$39:$F$46,5,FALSE))</f>
        <v/>
      </c>
      <c r="F6" s="90" t="str">
        <f>IF(_xlfn.MAXIFS('Run 2'!$B$39:$B$46,'Run 2'!$B$39:$B$46,"&lt;"&amp;D6)&gt;0,_xlfn.MAXIFS('Run 2'!$B$39:$B$46,'Run 2'!$B$39:$B$46,"&lt;"&amp;D6),"")</f>
        <v/>
      </c>
      <c r="G6" s="89" t="str">
        <f>IF($F6="","",VLOOKUP($F6,'Run 2'!$B$39:$F$46,5,FALSE))</f>
        <v/>
      </c>
      <c r="H6" s="98" t="str">
        <f>IF(COUNTBLANK(D6:G6)=0,$F$6+((150-$G$6)/($E$6-$G$6)*($D$6-$F$6)),"")</f>
        <v/>
      </c>
      <c r="I6" s="96" t="str">
        <f>IF(_xlfn.MINIFS('Run 2'!$B$43:$B$45,'Run 2'!$F$43:$F$45,"&gt;150",'Run 2'!$F$43:$F$45,"&gt;"&amp;('Run 2'!$F$46*0.1+'Run 2'!$F$46))&gt;0,_xlfn.MINIFS('Run 2'!$B$43:$B$45,'Run 2'!$F$43:$F$45,"&gt;"&amp;('Run 2'!$F$46*0.1+'Run 2'!$F$46)),"")</f>
        <v/>
      </c>
      <c r="J6" s="89" t="str">
        <f>IF($I6="","",VLOOKUP($I6,'Run 2'!$B$39:$F$46,5,FALSE))</f>
        <v/>
      </c>
      <c r="K6" s="91" t="str">
        <f>IF(I6="","",'Run 2'!$B$46)</f>
        <v/>
      </c>
      <c r="L6" s="92" t="str">
        <f>IF(I6="","",'Run 2'!$F$46)</f>
        <v/>
      </c>
      <c r="M6" s="98" t="str">
        <f>IF(COUNTBLANK($I$6:$L$6)=0,2^(LOG($K$6,2)+(150-$L$6)/($J$6-$L$6)*(LOG($I$6,2)-LOG($K$6,2))),"")</f>
        <v/>
      </c>
      <c r="P6" s="4"/>
      <c r="Q6" s="4"/>
    </row>
    <row r="7" spans="1:17" x14ac:dyDescent="0.3">
      <c r="A7" s="93" t="str">
        <f>'Starting Concentrations'!$A$5</f>
        <v>2,4-BPS</v>
      </c>
      <c r="B7" s="94" t="str">
        <f>IF(AND(COUNTIFS('Run 2'!$N$7:$N$14,"&gt;150",'Run 2'!$P$7:$P$14,"&gt;50")=0,COUNTIFS('Run 2'!$O$7:$O$14,"&gt;200",'Run 2'!$P$7:$P$14,"&gt;50")=0),"Non-sensitizer","Sensitizer")</f>
        <v>Non-sensitizer</v>
      </c>
      <c r="C7" s="95" t="str">
        <f>IF($B$7="Non-Sensitizer",IF(AND(OR('Starting Concentrations'!$B$5=5000,'Starting Concentrations'!$B$5=1000),COUNTIF('Run 2'!$P$7:$P$14,"&gt;50")&gt;=4),"Yes",IF(AND('Run 2'!$P$7&lt;90,COUNTIF('Run 2'!$P$7:$P$14,"&gt;50")&gt;=4),"Yes","No")),IF(COUNTIF('Run 2'!$P$7:$P$14,"&gt;50")&gt;=4,"Yes","No"))</f>
        <v>Yes</v>
      </c>
      <c r="D7" s="96" t="str">
        <f>IF(_xlfn.MINIFS('Run 2'!$J$7:$J$14,'Run 2'!$P$7:$P$14,"&gt;50",'Run 2'!$N$7:$N$14,"&gt;150")&gt;0,_xlfn.MINIFS('Run 2'!$J$7:$J$14,'Run 2'!$P$7:$P$14,"&gt;50",'Run 2'!$N$7:$N$14,"&gt;150"),"")</f>
        <v/>
      </c>
      <c r="E7" s="92" t="str">
        <f>IF($D7="","",VLOOKUP($D7,'Run 2'!$J$7:$N$14,5,FALSE))</f>
        <v/>
      </c>
      <c r="F7" s="97" t="str">
        <f>IF(_xlfn.MAXIFS('Run 2'!$J$7:$J$14,'Run 2'!$J$7:$J$14,"&lt;"&amp;D7)&gt;0,_xlfn.MAXIFS('Run 2'!$J$7:$J$14,'Run 2'!$J$7:$J$14,"&lt;"&amp;D7),"")</f>
        <v/>
      </c>
      <c r="G7" s="92" t="str">
        <f>IF($F7="","",VLOOKUP($F7,'Run 2'!$J$7:$N$14,5,FALSE))</f>
        <v/>
      </c>
      <c r="H7" s="98" t="str">
        <f>IF(COUNTBLANK(D7:G7)=0,$F$7+((150-$G$7)/($E$7-$G$7)*($D$7-$F$7)),"")</f>
        <v/>
      </c>
      <c r="I7" s="96" t="str">
        <f>IF(_xlfn.MINIFS('Run 2'!$J$11:$J$13,'Run 2'!$N$11:$N$13,"&gt;150",'Run 2'!$N$11:$N$13,"&gt;"&amp;('Run 2'!$N$14*0.1+'Run 2'!$N$14))&gt;0,_xlfn.MINIFS('Run 2'!$J$11:$J$13,'Run 2'!$N$11:$N$13,"&gt;"&amp;('Run 2'!$N$14*0.1+'Run 2'!$N$14)),"")</f>
        <v/>
      </c>
      <c r="J7" s="89" t="str">
        <f>IF($I7="","",VLOOKUP($I7,'Run 2'!$J$7:$N$14,5,FALSE))</f>
        <v/>
      </c>
      <c r="K7" s="91" t="str">
        <f>IF(I7="","",'Run 2'!$J$14)</f>
        <v/>
      </c>
      <c r="L7" s="92" t="str">
        <f>IF(I7="","",'Run 2'!$N$14)</f>
        <v/>
      </c>
      <c r="M7" s="98" t="str">
        <f>IF(COUNTBLANK($I$7:$L$7)=0,2^(LOG($K$7,2)+(150-$L$7)/($J$7-$L$7)*(LOG($I$7,2)-LOG($K$7,2))),"")</f>
        <v/>
      </c>
      <c r="P7" s="4"/>
      <c r="Q7" s="4"/>
    </row>
    <row r="8" spans="1:17" x14ac:dyDescent="0.3">
      <c r="A8" s="93" t="str">
        <f>'Starting Concentrations'!$A$6</f>
        <v>BPF</v>
      </c>
      <c r="B8" s="94" t="str">
        <f>IF(AND(COUNTIFS('Run 2'!$N$15:$N$22,"&gt;150",'Run 2'!$P$15:$P$22,"&gt;50")=0,COUNTIFS('Run 2'!$O$15:$O$22,"&gt;200",'Run 2'!$P$15:$P$22,"&gt;50")=0),"Non-sensitizer","Sensitizer")</f>
        <v>Non-sensitizer</v>
      </c>
      <c r="C8" s="95" t="str">
        <f>IF($B$8="Non-Sensitizer",IF(AND(OR('Starting Concentrations'!$B$6=5000,'Starting Concentrations'!$B$6=1000),COUNTIF('Run 2'!$P$15:$P$22,"&gt;50")&gt;=4),"Yes",IF(AND('Run 2'!$P$15&lt;90,COUNTIF('Run 2'!$P$15:$P$22,"&gt;50")&gt;=4),"Yes","No")),IF(COUNTIF('Run 2'!$P$15:$P$22,"&gt;50")&gt;=4,"Yes","No"))</f>
        <v>Yes</v>
      </c>
      <c r="D8" s="96" t="str">
        <f>IF(_xlfn.MINIFS('Run 2'!$J$15:$J$22,'Run 2'!$P$15:$P$22,"&gt;50",'Run 2'!$N$15:$N$22,"&gt;150")&gt;0,_xlfn.MINIFS('Run 2'!$J$15:$J$22,'Run 2'!$P$15:$P$22,"&gt;50",'Run 2'!$N$15:$N$22,"&gt;150"),"")</f>
        <v/>
      </c>
      <c r="E8" s="92" t="str">
        <f>IF($D8="","",VLOOKUP($D8,'Run 2'!$J$15:$N$22,5,FALSE))</f>
        <v/>
      </c>
      <c r="F8" s="97" t="str">
        <f>IF(_xlfn.MAXIFS('Run 2'!$J$15:$J$22,'Run 2'!$J$15:$J$22,"&lt;"&amp;D8)&gt;0,_xlfn.MAXIFS('Run 2'!$J$15:$J$22,'Run 2'!$J$15:$J$22,"&lt;"&amp;D8),"")</f>
        <v/>
      </c>
      <c r="G8" s="92" t="str">
        <f>IF($F8="","",VLOOKUP($F8,'Run 2'!$J$15:$N$22,5,FALSE))</f>
        <v/>
      </c>
      <c r="H8" s="98" t="str">
        <f>IF(COUNTBLANK(D8:G8)=0,$F$8+((150-$G$8)/($E$8-$G$8)*($D$8-$F$8)),"")</f>
        <v/>
      </c>
      <c r="I8" s="96" t="str">
        <f>IF(_xlfn.MINIFS('Run 2'!$J$19:$J$21,'Run 2'!$N$19:$N$21,"&gt;150",'Run 2'!$N$19:$N$21,"&gt;"&amp;('Run 2'!$N$22*0.1+'Run 2'!$N$22))&gt;0,_xlfn.MINIFS('Run 2'!$J$19:$J$21,'Run 2'!$N$19:$N$21,"&gt;"&amp;('Run 2'!$N$22*0.1+'Run 2'!$N$22)),"")</f>
        <v/>
      </c>
      <c r="J8" s="89" t="str">
        <f>IF($I8="","",VLOOKUP($I8,'Run 2'!$J$15:$N$22,5,FALSE))</f>
        <v/>
      </c>
      <c r="K8" s="91" t="str">
        <f>IF(I8="","",'Run 2'!$J$22)</f>
        <v/>
      </c>
      <c r="L8" s="92" t="str">
        <f>IF(I8="","",'Run 2'!$N$22)</f>
        <v/>
      </c>
      <c r="M8" s="98" t="str">
        <f>IF(COUNTBLANK($I$8:$L$8)=0,2^(LOG($K$8,2)+(150-$L$8)/($J$8-$L$8)*(LOG($I$8,2)-LOG($K$8,2))),"")</f>
        <v/>
      </c>
      <c r="P8" s="4"/>
      <c r="Q8" s="4"/>
    </row>
    <row r="9" spans="1:17" x14ac:dyDescent="0.3">
      <c r="A9" s="93" t="str">
        <f>'Starting Concentrations'!$A$7</f>
        <v>BPB</v>
      </c>
      <c r="B9" s="94" t="str">
        <f>IF(AND(COUNTIFS('Run 2'!$N$23:$N$30,"&gt;150",'Run 2'!$P$23:$P$30,"&gt;50")=0,COUNTIFS('Run 2'!$O$23:$O$30,"&gt;200",'Run 2'!$P$23:$P$30,"&gt;50")=0),"Non-sensitizer","Sensitizer")</f>
        <v>Sensitizer</v>
      </c>
      <c r="C9" s="95" t="str">
        <f>IF($B$9="Non-Sensitizer",IF(AND(OR('Starting Concentrations'!$B$7=5000,'Starting Concentrations'!$B$7=1000),COUNTIF('Run 2'!$P$23:$P$30,"&gt;50")&gt;=4),"Yes",IF(AND('Run 2'!$P$23&lt;90,COUNTIF('Run 2'!$P$23:$P$30,"&gt;50")&gt;=4),"Yes","No")),IF(COUNTIF('Run 2'!$P$23:$P$30,"&gt;50")&gt;=4,"Yes","No"))</f>
        <v>Yes</v>
      </c>
      <c r="D9" s="96" t="str">
        <f>IF(_xlfn.MINIFS('Run 2'!$J$23:$J$30,'Run 2'!$P$23:$P$30,"&gt;50",'Run 2'!$N$23:$N$30,"&gt;150")&gt;0,_xlfn.MINIFS('Run 2'!$J$23:$J$30,'Run 2'!$P$23:$P$30,"&gt;50",'Run 2'!$N$23:$N$30,"&gt;150"),"")</f>
        <v/>
      </c>
      <c r="E9" s="92" t="str">
        <f>IF($D9="","",VLOOKUP($D9,'Run 2'!$J$23:$N$30,5,FALSE))</f>
        <v/>
      </c>
      <c r="F9" s="97" t="str">
        <f>IF(_xlfn.MAXIFS('Run 2'!$J$23:$J$30,'Run 2'!$J$23:$J$30,"&lt;"&amp;D9)&gt;0,_xlfn.MAXIFS('Run 2'!$J$23:$J$30,'Run 2'!$J$23:$J$30,"&lt;"&amp;D9),"")</f>
        <v/>
      </c>
      <c r="G9" s="92" t="str">
        <f>IF($F9="","",VLOOKUP($F9,'Run 2'!$J$23:$N$30,5,FALSE))</f>
        <v/>
      </c>
      <c r="H9" s="98" t="str">
        <f>IF(COUNTBLANK(D9:G9)=0,$F$9+((150-$G$9)/($E$9-$G$9)*($D$9-$F$9)),"")</f>
        <v/>
      </c>
      <c r="I9" s="96" t="str">
        <f>IF(_xlfn.MINIFS('Run 2'!$J$27:$J$29,'Run 2'!$N$27:$N$29,"&gt;150",'Run 2'!$N$27:$N$29,"&gt;"&amp;('Run 2'!$N$30*0.1+'Run 2'!$N$30))&gt;0,_xlfn.MINIFS('Run 2'!$J$27:$J$29,'Run 2'!$N$27:$N$29,"&gt;"&amp;('Run 2'!$N$30*0.1+'Run 2'!$N$30)),"")</f>
        <v/>
      </c>
      <c r="J9" s="89" t="str">
        <f>IF($I9="","",VLOOKUP($I9,'Run 2'!$J$23:$N$30,5,FALSE))</f>
        <v/>
      </c>
      <c r="K9" s="91" t="str">
        <f>IF(I9="","",'Run 2'!$J$30)</f>
        <v/>
      </c>
      <c r="L9" s="92" t="str">
        <f>IF(I9="","",'Run 2'!$N$30)</f>
        <v/>
      </c>
      <c r="M9" s="98" t="str">
        <f>IF(COUNTBLANK($I$9:$L$9)=0,2^(LOG($K$9,2)+(150-$L$9)/($J$9-$L$9)*(LOG($I$9,2)-LOG($K$9,2))),"")</f>
        <v/>
      </c>
      <c r="P9" s="4"/>
      <c r="Q9" s="4"/>
    </row>
    <row r="10" spans="1:17" x14ac:dyDescent="0.3">
      <c r="A10" s="99" t="str">
        <f>'Starting Concentrations'!$A$8</f>
        <v>BPAP</v>
      </c>
      <c r="B10" s="100" t="str">
        <f>IF(AND(COUNTIFS('Run 2'!$N$31:$N$38,"&gt;150",'Run 2'!$P$31:$P$38,"&gt;50")=0,COUNTIFS('Run 2'!$O$31:$O$38,"&gt;200",'Run 2'!$P$31:$P$38,"&gt;50")=0),"Non-sensitizer","Sensitizer")</f>
        <v>Sensitizer</v>
      </c>
      <c r="C10" s="101" t="str">
        <f>IF($B$10="Non-Sensitizer",IF(AND(OR('Starting Concentrations'!$B$8=5000,'Starting Concentrations'!$B$8=1000),COUNTIF('Run 2'!$P$31:$P$38,"&gt;50")&gt;=4),"Yes",IF(AND('Run 2'!$P$31&lt;90,COUNTIF('Run 2'!$P$31:$P$38,"&gt;50")&gt;=4),"Yes","No")),IF(COUNTIF('Run 2'!$P$31:$P$38,"&gt;50")&gt;=4,"Yes","No"))</f>
        <v>Yes</v>
      </c>
      <c r="D10" s="102" t="str">
        <f>IF(_xlfn.MINIFS('Run 2'!$J$31:$J$38,'Run 2'!$P$31:$P$38,"&gt;50",'Run 2'!$N$31:$N$38,"&gt;150")&gt;0,_xlfn.MINIFS('Run 2'!$J$31:$J$38,'Run 2'!$P$31:$P$38,"&gt;50",'Run 2'!$N$31:$N$38,"&gt;150"),"")</f>
        <v/>
      </c>
      <c r="E10" s="103" t="str">
        <f>IF($D10="","",VLOOKUP($D10,'Run 2'!$J$31:$N$38,5,FALSE))</f>
        <v/>
      </c>
      <c r="F10" s="104" t="str">
        <f>IF(_xlfn.MAXIFS('Run 2'!$J$31:$J$38,'Run 2'!$J$31:$J$38,"&lt;"&amp;D10)&gt;0,_xlfn.MAXIFS('Run 2'!$J$31:$J$38,'Run 2'!$J$31:$J$38,"&lt;"&amp;D10),"")</f>
        <v/>
      </c>
      <c r="G10" s="103" t="str">
        <f>IF($F10="","",VLOOKUP($F10,'Run 2'!$J$31:$N$38,5,FALSE))</f>
        <v/>
      </c>
      <c r="H10" s="105" t="str">
        <f>IF(COUNTBLANK(D10:G10)=0,$F$10+((150-$G$10)/($E$10-$G$10)*($D$10-$F$10)),"")</f>
        <v/>
      </c>
      <c r="I10" s="102" t="str">
        <f>IF(_xlfn.MINIFS('Run 2'!$J$35:$J$37,'Run 2'!$N$35:$N$37,"&gt;150",'Run 2'!$N$35:$N$37,"&gt;"&amp;('Run 2'!$N$38*0.1+'Run 2'!$N$38))&gt;0,_xlfn.MINIFS('Run 2'!$J$35:$J$37,'Run 2'!$N$35:$N$37,"&gt;"&amp;('Run 2'!$N$38*0.1+'Run 2'!$N$38)),"")</f>
        <v/>
      </c>
      <c r="J10" s="103" t="str">
        <f>IF($I10="","",VLOOKUP($I10,'Run 2'!$J$31:$N$38,5,FALSE))</f>
        <v/>
      </c>
      <c r="K10" s="106" t="str">
        <f>IF(I10="","",'Run 2'!$J$38)</f>
        <v/>
      </c>
      <c r="L10" s="103" t="str">
        <f>IF(I10="","",'Run 2'!$N$38)</f>
        <v/>
      </c>
      <c r="M10" s="105" t="str">
        <f>IF(COUNTBLANK($I$10:$L$10)=0,2^(LOG($K$10,2)+(150-$L$10)/($J$10-$L$10)*(LOG($I$10,2)-LOG($K$10,2))),"")</f>
        <v/>
      </c>
      <c r="P10" s="4"/>
      <c r="Q10" s="4"/>
    </row>
    <row r="11" spans="1:17" ht="15" thickBot="1" x14ac:dyDescent="0.35">
      <c r="A11" s="107" t="str">
        <f>'Starting Concentrations'!$A$9</f>
        <v>BPE</v>
      </c>
      <c r="B11" s="108" t="str">
        <f>IF(AND(COUNTIFS('Run 2'!$N$39:$N$46,"&gt;150",'Run 2'!$P$39:$P$46,"&gt;50")=0,COUNTIFS('Run 2'!$O$39:$O$46,"&gt;200",'Run 2'!$P$39:$P$46,"&gt;50")=0),"Non-sensitizer","Sensitizer")</f>
        <v>Sensitizer</v>
      </c>
      <c r="C11" s="109" t="str">
        <f>IF($B$11="Non-Sensitizer",IF(AND(OR('Starting Concentrations'!$B$9=5000,'Starting Concentrations'!$B$9=1000),COUNTIF('Run 2'!$P$39:$P$46,"&gt;50")&gt;=4),"Yes",IF(AND('Run 2'!$P$39&lt;90,COUNTIF('Run 2'!$P$39:$P$46,"&gt;50")&gt;=4),"Yes","No")),IF(COUNTIF('Run 2'!$P$39:$P$46,"&gt;50")&gt;=4,"Yes","No"))</f>
        <v>Yes</v>
      </c>
      <c r="D11" s="110" t="str">
        <f>IF(_xlfn.MINIFS('Run 2'!$J$39:$J$46,'Run 2'!$P$39:$P$46,"&gt;50",'Run 2'!$N$39:$N$46,"&gt;150")&gt;0,_xlfn.MINIFS('Run 2'!$J$39:$J$46,'Run 2'!$P$39:$P$46,"&gt;50",'Run 2'!$N$39:$N$46,"&gt;150"),"")</f>
        <v/>
      </c>
      <c r="E11" s="111" t="str">
        <f>IF($D11="","",VLOOKUP($D11,'Run 2'!$J$39:$N$46,5,FALSE))</f>
        <v/>
      </c>
      <c r="F11" s="112" t="str">
        <f>IF(_xlfn.MAXIFS('Run 2'!$J$39:$J$46,'Run 2'!$J$39:$J$46,"&lt;"&amp;D11)&gt;0,_xlfn.MAXIFS('Run 2'!$J$39:$J$46,'Run 2'!$J$39:$J$46,"&lt;"&amp;D11),"")</f>
        <v/>
      </c>
      <c r="G11" s="111" t="str">
        <f>IF($F11="","",VLOOKUP($F11,'Run 2'!$J$39:$N$46,5,FALSE))</f>
        <v/>
      </c>
      <c r="H11" s="113" t="str">
        <f>IF(COUNTBLANK(D11:G11)=0,$F$11+((150-$G$11)/($E$11-$G$11)*($D$11-$F$11)),"")</f>
        <v/>
      </c>
      <c r="I11" s="110" t="str">
        <f>IF(_xlfn.MINIFS('Run 2'!$J$43:$J$45,'Run 2'!$N$43:$N$45,"&gt;150",'Run 2'!$N$43:$N$45,"&gt;"&amp;('Run 2'!$N$46*0.1+'Run 2'!$N$46))&gt;0,_xlfn.MINIFS('Run 2'!$J$43:$J$45,'Run 2'!$N$43:$N$45,"&gt;"&amp;('Run 2'!$N$46*0.1+'Run 2'!$N$46)),"")</f>
        <v/>
      </c>
      <c r="J11" s="111" t="str">
        <f>IF($I11="","",VLOOKUP($I11,'Run 2'!$J$39:$N$46,5,FALSE))</f>
        <v/>
      </c>
      <c r="K11" s="114" t="str">
        <f>IF(I11="","",'Run 2'!$J$46)</f>
        <v/>
      </c>
      <c r="L11" s="111" t="str">
        <f>IF(I11="","",'Run 2'!$N$46)</f>
        <v/>
      </c>
      <c r="M11" s="113" t="str">
        <f>IF(COUNTBLANK($I$11:$L$11)=0,2^(LOG($K$11,2)+(150-$L$11)/($J$11-$L$11)*(LOG($I$11,2)-LOG($K$11,2))),"")</f>
        <v/>
      </c>
      <c r="P11" s="4"/>
      <c r="Q11" s="4"/>
    </row>
    <row r="12" spans="1:17" x14ac:dyDescent="0.3">
      <c r="A12" s="83"/>
      <c r="B12" s="83"/>
      <c r="C12" s="83"/>
      <c r="D12" s="115"/>
      <c r="E12" s="116"/>
      <c r="F12" s="115"/>
      <c r="G12" s="116"/>
      <c r="H12" s="116"/>
      <c r="I12" s="115"/>
      <c r="J12" s="116"/>
      <c r="K12" s="115"/>
      <c r="L12" s="116"/>
      <c r="M12" s="116"/>
    </row>
    <row r="13" spans="1:17" ht="15" thickBot="1" x14ac:dyDescent="0.35">
      <c r="A13" s="83"/>
      <c r="B13" s="83"/>
      <c r="C13" s="83"/>
      <c r="D13" s="115"/>
      <c r="E13" s="116"/>
      <c r="F13" s="115"/>
      <c r="G13" s="116"/>
      <c r="H13" s="116"/>
      <c r="I13" s="115"/>
      <c r="J13" s="116"/>
      <c r="K13" s="115"/>
      <c r="L13" s="116"/>
      <c r="M13" s="116"/>
    </row>
    <row r="14" spans="1:17" ht="18.75" customHeight="1" x14ac:dyDescent="0.35">
      <c r="A14" s="83"/>
      <c r="B14" s="83"/>
      <c r="C14" s="83"/>
      <c r="D14" s="178" t="s">
        <v>92</v>
      </c>
      <c r="E14" s="179"/>
      <c r="F14" s="179"/>
      <c r="G14" s="179"/>
      <c r="H14" s="179"/>
      <c r="I14" s="179"/>
      <c r="J14" s="179"/>
      <c r="K14" s="179"/>
      <c r="L14" s="179"/>
      <c r="M14" s="180"/>
    </row>
    <row r="15" spans="1:17" ht="18.75" customHeight="1" x14ac:dyDescent="0.35">
      <c r="A15" s="181" t="s">
        <v>1</v>
      </c>
      <c r="B15" s="182" t="s">
        <v>271</v>
      </c>
      <c r="C15" s="189" t="s">
        <v>268</v>
      </c>
      <c r="D15" s="186" t="s">
        <v>269</v>
      </c>
      <c r="E15" s="187"/>
      <c r="F15" s="187"/>
      <c r="G15" s="187"/>
      <c r="H15" s="188"/>
      <c r="I15" s="186" t="s">
        <v>270</v>
      </c>
      <c r="J15" s="187"/>
      <c r="K15" s="187"/>
      <c r="L15" s="187"/>
      <c r="M15" s="188"/>
    </row>
    <row r="16" spans="1:17" ht="18" x14ac:dyDescent="0.35">
      <c r="A16" s="181"/>
      <c r="B16" s="183"/>
      <c r="C16" s="189"/>
      <c r="D16" s="84" t="s">
        <v>278</v>
      </c>
      <c r="E16" s="85" t="s">
        <v>279</v>
      </c>
      <c r="F16" s="86" t="s">
        <v>280</v>
      </c>
      <c r="G16" s="85" t="s">
        <v>281</v>
      </c>
      <c r="H16" s="87" t="s">
        <v>267</v>
      </c>
      <c r="I16" s="84" t="s">
        <v>278</v>
      </c>
      <c r="J16" s="85" t="s">
        <v>279</v>
      </c>
      <c r="K16" s="86" t="s">
        <v>280</v>
      </c>
      <c r="L16" s="85" t="s">
        <v>281</v>
      </c>
      <c r="M16" s="87" t="s">
        <v>267</v>
      </c>
    </row>
    <row r="17" spans="1:24" x14ac:dyDescent="0.3">
      <c r="A17" s="93" t="str">
        <f>'Starting Concentrations'!$A$2</f>
        <v>BPA</v>
      </c>
      <c r="B17" s="94" t="str">
        <f>IF(AND(COUNTIFS('Run 2'!$F$23:$F$30,"&gt;150",'Run 2'!$H$23:$H$30,"&gt;50")=0,COUNTIFS('Run 2'!$G$23:$G$30,"&gt;200",'Run 2'!$H$23:$H$30,"&gt;50")=0),"Non-sensitizer","Sensitizer")</f>
        <v>Sensitizer</v>
      </c>
      <c r="C17" s="95" t="str">
        <f>IF($B$4="Non-Sensitizer",IF(AND(OR('Starting Concentrations'!$B$2=5000,'Starting Concentrations'!$B$2=1000),COUNTIF('Run 2'!$H$23:$H$30,"&gt;50")&gt;=4),"Yes",IF(AND('Run 2'!$H$23&lt;90,COUNTIF('Run 2'!$H$23:$H$30,"&gt;50")&gt;=4),"Yes","No")),IF(COUNTIF('Run 2'!$H$23:$H$30,"&gt;50")&gt;=4,"Yes","No"))</f>
        <v>Yes</v>
      </c>
      <c r="D17" s="96">
        <f>IF(_xlfn.MINIFS('Run 2'!$B$23:$B$30,'Run 2'!$H$23:$H$30,"&gt;50",'Run 2'!$G$23:$G$30,"&gt;200")&gt;0,_xlfn.MINIFS('Run 2'!$B$23:$B$30,'Run 2'!$H$23:$H$30,"&gt;50",'Run 2'!$G$23:$G$30,"&gt;200"),"")</f>
        <v>29.861111111111114</v>
      </c>
      <c r="E17" s="92">
        <f>IF($D17="","",VLOOKUP($D17,'Run 2'!$B$23:$G$30,6,FALSE))</f>
        <v>219.28816862403195</v>
      </c>
      <c r="F17" s="97">
        <f>IF(_xlfn.MAXIFS('Run 2'!$B$23:$B$30,'Run 2'!$B$23:$B$30,"&lt;"&amp;D17)&gt;0,_xlfn.MAXIFS('Run 2'!$B$23:$B$30,'Run 2'!$B$23:$B$30,"&lt;"&amp;D17),"")</f>
        <v>24.884259259259263</v>
      </c>
      <c r="G17" s="89">
        <f>IF($F17="","",VLOOKUP($F17,'Run 2'!$B$23:$G$30,6,FALSE))</f>
        <v>196.1187753218114</v>
      </c>
      <c r="H17" s="123">
        <f t="shared" ref="H17:H24" si="0">IF(COUNTBLANK($D17:$G17)=0,$F17+((200-$G17)/($E17-$G17)*($D17-$F17)),"")</f>
        <v>25.717957404702062</v>
      </c>
      <c r="I17" s="96" t="str">
        <f>IF(_xlfn.MINIFS('Run 2'!$B$27:$B$29,'Run 2'!$G$27:$G$29,"&gt;200",'Run 2'!$G$27:$G$29,"&gt;"&amp;('Run 2'!$G$30*0.1+'Run 2'!$G$30))&gt;0,_xlfn.MINIFS('Run 2'!$B$27:$B$29,'Run 2'!$G$27:$G$29,"&gt;"&amp;('Run 2'!$G$30*0.1+'Run 2'!$G$30)),"")</f>
        <v/>
      </c>
      <c r="J17" s="89" t="str">
        <f>IF($I17="","",VLOOKUP($I17,'Run 2'!$B$23:$G$30,6,FALSE))</f>
        <v/>
      </c>
      <c r="K17" s="91" t="str">
        <f>IF(I17="","",'Run 2'!$B$30)</f>
        <v/>
      </c>
      <c r="L17" s="92" t="str">
        <f>IF(I17="","",'Run 2'!$G$30)</f>
        <v/>
      </c>
      <c r="M17" s="98" t="str">
        <f t="shared" ref="M17:M24" si="1">IF(COUNTBLANK($I17:$L17)=0,2^(LOG($K17,2)+(200-$L17)/($J17-$L17)*(LOG($I17,2)-LOG($K17,2))),"")</f>
        <v/>
      </c>
    </row>
    <row r="18" spans="1:24" x14ac:dyDescent="0.3">
      <c r="A18" s="93" t="str">
        <f>'Starting Concentrations'!$A$3</f>
        <v>BPAF</v>
      </c>
      <c r="B18" s="94" t="str">
        <f>IF(AND(COUNTIFS('Run 2'!$F$31:$F$38,"&gt;150",'Run 2'!$H$31:$H$38,"&gt;50")=0,COUNTIFS('Run 2'!$G$31:$G$38,"&gt;200",'Run 2'!$H$31:$H$38,"&gt;50")=0),"Non-sensitizer","Sensitizer")</f>
        <v>Sensitizer</v>
      </c>
      <c r="C18" s="95" t="str">
        <f>IF($B$5="Non-Sensitizer",IF(AND(OR('Starting Concentrations'!$B$3=5000,'Starting Concentrations'!$B$3=1000),COUNTIF('Run 2'!$H$31:$H$38,"&gt;50")&gt;=4),"Yes",IF(AND('Run 2'!$H$31&lt;90,COUNTIF('Run 2'!$H$31:$H$38,"&gt;50")&gt;=4),"Yes","No")),IF(COUNTIF('Run 2'!$H$31:$H$38,"&gt;50")&gt;=4,"Yes","No"))</f>
        <v>Yes</v>
      </c>
      <c r="D18" s="96">
        <f>IF(_xlfn.MINIFS('Run 2'!$B$31:$B$38,'Run 2'!$H$31:$H$38,"&gt;50",'Run 2'!$G$31:$G$38,"&gt;200")&gt;0,_xlfn.MINIFS('Run 2'!$B$31:$B$38,'Run 2'!$H$31:$H$38,"&gt;50",'Run 2'!$G$31:$G$38,"&gt;200"),"")</f>
        <v>18.833333333333336</v>
      </c>
      <c r="E18" s="92">
        <f>IF($D18="","",VLOOKUP($D18,'Run 2'!$B$31:$G$38,6,FALSE))</f>
        <v>262.02318067593211</v>
      </c>
      <c r="F18" s="97">
        <f>IF(_xlfn.MAXIFS('Run 2'!$B$32:$B$38,'Run 2'!$B$32:$B$38,"&lt;"&amp;D18)&gt;0,_xlfn.MAXIFS('Run 2'!$B$32:$B$38,'Run 2'!$B$32:$B$38,"&lt;"&amp;D18),"")</f>
        <v>15.694444444444446</v>
      </c>
      <c r="G18" s="89">
        <f>IF($F18="","",VLOOKUP($F18,'Run 2'!$B$32:$G$38,6,FALSE))</f>
        <v>192.21601107749112</v>
      </c>
      <c r="H18" s="123">
        <f t="shared" si="0"/>
        <v>16.044452566542024</v>
      </c>
      <c r="I18" s="96" t="str">
        <f>IF(_xlfn.MINIFS('Run 2'!$B$35:$B$37,'Run 2'!$G$35:$G$37,"&gt;200",'Run 2'!$G$35:$G$37,"&gt;"&amp;('Run 2'!$G$38*0.1+'Run 2'!$G$38))&gt;0,_xlfn.MINIFS('Run 2'!$B$35:$B$37,'Run 2'!$G$35:$G$37,"&gt;"&amp;('Run 2'!$G$38*0.1+'Run 2'!$G$38)),"")</f>
        <v/>
      </c>
      <c r="J18" s="89" t="str">
        <f>IF($I18="","",VLOOKUP($I18,'Run 2'!$B$31:$G$38,6,FALSE))</f>
        <v/>
      </c>
      <c r="K18" s="91" t="str">
        <f>IF(I18="","",'Run 2'!$B$38)</f>
        <v/>
      </c>
      <c r="L18" s="92" t="str">
        <f>IF(I18="","",'Run 2'!$G$38)</f>
        <v/>
      </c>
      <c r="M18" s="98" t="str">
        <f t="shared" si="1"/>
        <v/>
      </c>
    </row>
    <row r="19" spans="1:24" x14ac:dyDescent="0.3">
      <c r="A19" s="93" t="str">
        <f>'Starting Concentrations'!$A$4</f>
        <v>BPS</v>
      </c>
      <c r="B19" s="94" t="str">
        <f>IF(AND(COUNTIFS('Run 2'!$F$39:$F$46,"&gt;150",'Run 2'!$H$39:$H$46,"&gt;50")=0,COUNTIFS('Run 2'!$G$39:$G$46,"&gt;200",'Run 2'!$H$39:$H$46,"&gt;50")=0),"Non-sensitizer","Sensitizer")</f>
        <v>Non-sensitizer</v>
      </c>
      <c r="C19" s="95" t="str">
        <f>IF($B$6="Non-Sensitizer",IF(AND(OR('Starting Concentrations'!$B$4=5000,'Starting Concentrations'!$B$4=1000),COUNTIF('Run 2'!$H$39:$H$46,"&gt;50")&gt;=4),"Yes",IF(AND('Run 2'!$H$39&lt;90,COUNTIF('Run 2'!$H$39:$H$46,"&gt;50")&gt;=4),"Yes","No")),IF(COUNTIF('Run 2'!$H$39:$H$46,"&gt;50")&gt;=4,"Yes","No"))</f>
        <v>Yes</v>
      </c>
      <c r="D19" s="88" t="str">
        <f>IF(_xlfn.MINIFS('Run 2'!$B$39:$B$46,'Run 2'!$H$39:$H$46,"&gt;50",'Run 2'!$G$39:$G$46,"&gt;200")&gt;0,_xlfn.MINIFS('Run 2'!$B$39:$B$46,'Run 2'!$H$39:$H$46,"&gt;50",'Run 2'!$G$39:$G$46,"&gt;200"),"")</f>
        <v/>
      </c>
      <c r="E19" s="89" t="str">
        <f>IF($D19="","",VLOOKUP($D19,'Run 2'!$B$39:$G$46,6,FALSE))</f>
        <v/>
      </c>
      <c r="F19" s="90" t="str">
        <f>IF(_xlfn.MAXIFS('Run 2'!$B$39:$B$46,'Run 2'!$B$39:$B$46,"&lt;"&amp;D19)&gt;0,_xlfn.MAXIFS('Run 2'!$B$39:$B$46,'Run 2'!$B$39:$B$46,"&lt;"&amp;D19),"")</f>
        <v/>
      </c>
      <c r="G19" s="89" t="str">
        <f>IF($F19="","",VLOOKUP($F19,'Run 2'!$B$39:$G$46,6,FALSE))</f>
        <v/>
      </c>
      <c r="H19" s="117" t="str">
        <f t="shared" si="0"/>
        <v/>
      </c>
      <c r="I19" s="96" t="str">
        <f>IF(_xlfn.MINIFS('Run 2'!$B$43:$B$45,'Run 2'!$G$43:$G$45,"&gt;200",'Run 2'!$G$43:$G$45,"&gt;"&amp;('Run 2'!$G$46*0.1+'Run 2'!$G$46))&gt;0,_xlfn.MINIFS('Run 2'!$B$43:$B$45,'Run 2'!$G$43:$G$45,"&gt;"&amp;('Run 2'!$G$46*0.1+'Run 2'!$G$46)),"")</f>
        <v/>
      </c>
      <c r="J19" s="89" t="str">
        <f>IF($I19="","",VLOOKUP($I19,'Run 2'!$B$39:$G$46,6,FALSE))</f>
        <v/>
      </c>
      <c r="K19" s="91" t="str">
        <f>IF(I19="","",'Run 2'!$B$46)</f>
        <v/>
      </c>
      <c r="L19" s="92" t="str">
        <f>IF(I19="","",'Run 2'!$G$46)</f>
        <v/>
      </c>
      <c r="M19" s="98" t="str">
        <f t="shared" si="1"/>
        <v/>
      </c>
    </row>
    <row r="20" spans="1:24" x14ac:dyDescent="0.3">
      <c r="A20" s="93" t="str">
        <f>'Starting Concentrations'!$A$5</f>
        <v>2,4-BPS</v>
      </c>
      <c r="B20" s="94" t="str">
        <f>IF(AND(COUNTIFS('Run 2'!$N$7:$N$14,"&gt;150",'Run 2'!$P$7:$P$14,"&gt;50")=0,COUNTIFS('Run 2'!$O$7:$O$14,"&gt;200",'Run 2'!$P$7:$P$14,"&gt;50")=0),"Non-sensitizer","Sensitizer")</f>
        <v>Non-sensitizer</v>
      </c>
      <c r="C20" s="95" t="str">
        <f>IF($B$7="Non-Sensitizer",IF(AND(OR('Starting Concentrations'!$B$5=5000,'Starting Concentrations'!$B$5=1000),COUNTIF('Run 2'!$P$7:$P$14,"&gt;50")&gt;=4),"Yes",IF(AND('Run 2'!$P$7&lt;90,COUNTIF('Run 2'!$P$7:$P$14,"&gt;50")&gt;=4),"Yes","No")),IF(COUNTIF('Run 2'!$P$7:$P$14,"&gt;50")&gt;=4,"Yes","No"))</f>
        <v>Yes</v>
      </c>
      <c r="D20" s="96" t="str">
        <f>IF(_xlfn.MINIFS('Run 2'!$J$7:$J$14,'Run 2'!$P$7:$P$14,"&gt;50",'Run 2'!$O$7:$O$14,"&gt;200")&gt;0,_xlfn.MINIFS('Run 2'!$J$7:$J$14,'Run 2'!$P$7:$P$14,"&gt;50",'Run 2'!$O$7:$O$14,"&gt;200"),"")</f>
        <v/>
      </c>
      <c r="E20" s="92" t="str">
        <f>IF($D20="","",VLOOKUP($D20,'Run 2'!$J$7:$O$14,6,FALSE))</f>
        <v/>
      </c>
      <c r="F20" s="97" t="str">
        <f>IF(_xlfn.MAXIFS('Run 2'!$J$7:$J$14,'Run 2'!$J$7:$J$14,"&lt;"&amp;D20)&gt;0,_xlfn.MAXIFS('Run 2'!$J$7:$J$14,'Run 2'!$J$7:$J$14,"&lt;"&amp;D20),"")</f>
        <v/>
      </c>
      <c r="G20" s="92" t="str">
        <f>IF($F20="","",VLOOKUP($F20,'Run 2'!$J$7:$O$14,6,FALSE))</f>
        <v/>
      </c>
      <c r="H20" s="98" t="str">
        <f t="shared" si="0"/>
        <v/>
      </c>
      <c r="I20" s="96" t="str">
        <f>IF(_xlfn.MINIFS('Run 2'!$J$11:$J$13,'Run 2'!$O$11:$O$13,"&gt;200",'Run 2'!$O$11:$O$13,"&gt;"&amp;('Run 2'!$O$14*0.1+'Run 2'!$O$14))&gt;0,_xlfn.MINIFS('Run 2'!$J$11:$J$13,'Run 2'!$O$11:$O$13,"&gt;"&amp;('Run 2'!$O$14*0.1+'Run 2'!$O$14)),"")</f>
        <v/>
      </c>
      <c r="J20" s="89" t="str">
        <f>IF($I20="","",VLOOKUP($I20,'Run 2'!$J$7:$O$14,6,FALSE))</f>
        <v/>
      </c>
      <c r="K20" s="91" t="str">
        <f>IF(I20="","",'Run 2'!$J$14)</f>
        <v/>
      </c>
      <c r="L20" s="92" t="str">
        <f>IF(I20="","",'Run 2'!$O$14)</f>
        <v/>
      </c>
      <c r="M20" s="98" t="str">
        <f t="shared" si="1"/>
        <v/>
      </c>
      <c r="O20" s="48"/>
    </row>
    <row r="21" spans="1:24" x14ac:dyDescent="0.3">
      <c r="A21" s="93" t="str">
        <f>'Starting Concentrations'!$A$6</f>
        <v>BPF</v>
      </c>
      <c r="B21" s="94" t="str">
        <f>IF(AND(COUNTIFS('Run 2'!$N$15:$N$22,"&gt;150",'Run 2'!$P$15:$P$22,"&gt;50")=0,COUNTIFS('Run 2'!$O$15:$O$22,"&gt;200",'Run 2'!$P$15:$P$22,"&gt;50")=0),"Non-sensitizer","Sensitizer")</f>
        <v>Non-sensitizer</v>
      </c>
      <c r="C21" s="95" t="str">
        <f>IF($B$8="Non-Sensitizer",IF(AND(OR('Starting Concentrations'!$B$6=5000,'Starting Concentrations'!$B$6=1000),COUNTIF('Run 2'!$P$15:$P$22,"&gt;50")&gt;=4),"Yes",IF(AND('Run 2'!$P$15&lt;90,COUNTIF('Run 2'!$P$15:$P$22,"&gt;50")&gt;=4),"Yes","No")),IF(COUNTIF('Run 2'!$P$15:$P$22,"&gt;50")&gt;=4,"Yes","No"))</f>
        <v>Yes</v>
      </c>
      <c r="D21" s="96" t="str">
        <f>IF(_xlfn.MINIFS('Run 2'!$J$15:$J$22,'Run 2'!$P$15:$P$22,"&gt;50",'Run 2'!$O$15:$O$22,"&gt;200")&gt;0,_xlfn.MINIFS('Run 2'!$J$15:$J$22,'Run 2'!$P$15:$P$22,"&gt;50",'Run 2'!$O$15:$O$22,"&gt;200"),"")</f>
        <v/>
      </c>
      <c r="E21" s="92" t="str">
        <f>IF($D21="","",VLOOKUP($D21,'Run 2'!$J$15:$O$22,6,FALSE))</f>
        <v/>
      </c>
      <c r="F21" s="97" t="str">
        <f>IF(_xlfn.MAXIFS('Run 2'!$J$15:$J$22,'Run 2'!$J$15:$J$22,"&lt;"&amp;D21)&gt;0,_xlfn.MAXIFS('Run 2'!$J$15:$J$22,'Run 2'!$J$15:$J$22,"&lt;"&amp;D21),"")</f>
        <v/>
      </c>
      <c r="G21" s="92" t="str">
        <f>IF($F21="","",VLOOKUP($F21,'Run 2'!$J$15:$O$22,6,FALSE))</f>
        <v/>
      </c>
      <c r="H21" s="98" t="str">
        <f t="shared" si="0"/>
        <v/>
      </c>
      <c r="I21" s="96" t="str">
        <f>IF(_xlfn.MINIFS('Run 2'!$J$19:$J$21,'Run 2'!$O$19:$O$21,"&gt;200",'Run 2'!$O$19:$O$21,"&gt;"&amp;('Run 2'!$O$22*0.1+'Run 2'!$O$22))&gt;0,_xlfn.MINIFS('Run 2'!$J$19:$J$21,'Run 2'!$O$19:$O$21,"&gt;"&amp;('Run 2'!$O$22*0.1+'Run 2'!$O$22)),"")</f>
        <v/>
      </c>
      <c r="J21" s="89" t="str">
        <f>IF($I21="","",VLOOKUP($I21,'Run 2'!$J$15:$O$22,6,FALSE))</f>
        <v/>
      </c>
      <c r="K21" s="91" t="str">
        <f>IF(I21="","",'Run 2'!$J$22)</f>
        <v/>
      </c>
      <c r="L21" s="92" t="str">
        <f>IF(I21="","",'Run 2'!$O$22)</f>
        <v/>
      </c>
      <c r="M21" s="98" t="str">
        <f t="shared" si="1"/>
        <v/>
      </c>
    </row>
    <row r="22" spans="1:24" x14ac:dyDescent="0.3">
      <c r="A22" s="93" t="str">
        <f>'Starting Concentrations'!$A$7</f>
        <v>BPB</v>
      </c>
      <c r="B22" s="94" t="str">
        <f>IF(AND(COUNTIFS('Run 2'!$N$23:$N$30,"&gt;150",'Run 2'!$P$23:$P$30,"&gt;50")=0,COUNTIFS('Run 2'!$O$23:$O$30,"&gt;200",'Run 2'!$P$23:$P$30,"&gt;50")=0),"Non-sensitizer","Sensitizer")</f>
        <v>Sensitizer</v>
      </c>
      <c r="C22" s="95" t="str">
        <f>IF($B$9="Non-Sensitizer",IF(AND(OR('Starting Concentrations'!$B$7=5000,'Starting Concentrations'!$B$7=1000),COUNTIF('Run 2'!$P$23:$P$30,"&gt;50")&gt;=4),"Yes",IF(AND('Run 2'!$P$23&lt;90,COUNTIF('Run 2'!$P$23:$P$30,"&gt;50")&gt;=4),"Yes","No")),IF(COUNTIF('Run 2'!$P$23:$P$30,"&gt;50")&gt;=4,"Yes","No"))</f>
        <v>Yes</v>
      </c>
      <c r="D22" s="96">
        <f>IF(_xlfn.MINIFS('Run 2'!$J$23:$J$30,'Run 2'!$P$23:$P$30,"&gt;50",'Run 2'!$O$23:$O$30,"&gt;200")&gt;0,_xlfn.MINIFS('Run 2'!$J$23:$J$30,'Run 2'!$P$23:$P$30,"&gt;50",'Run 2'!$O$23:$O$30,"&gt;200"),"")</f>
        <v>27.013888888888889</v>
      </c>
      <c r="E22" s="92">
        <f>IF($D22="","",VLOOKUP($D22,'Run 2'!$J$23:$O$30,6,FALSE))</f>
        <v>209.05174624339708</v>
      </c>
      <c r="F22" s="97">
        <f>IF(_xlfn.MAXIFS('Run 2'!$J$23:$J$30,'Run 2'!$J$23:$J$30,"&lt;"&amp;D22)&gt;0,_xlfn.MAXIFS('Run 2'!$J$23:$J$30,'Run 2'!$J$23:$J$30,"&lt;"&amp;D22),"")</f>
        <v>22.511574074074076</v>
      </c>
      <c r="G22" s="92">
        <f>IF($F22="","",VLOOKUP($F22,'Run 2'!$J$23:$O$30,6,FALSE))</f>
        <v>188.49171752397558</v>
      </c>
      <c r="H22" s="123">
        <f t="shared" si="0"/>
        <v>25.031702396459821</v>
      </c>
      <c r="I22" s="96" t="str">
        <f>IF(_xlfn.MINIFS('Run 2'!$J$27:$J$29,'Run 2'!$O$27:$O$29,"&gt;200",'Run 2'!$O$27:$O$29,"&gt;"&amp;('Run 2'!$O$30*0.1+'Run 2'!$O$30))&gt;0,_xlfn.MINIFS('Run 2'!$J$27:$J$29,'Run 2'!$O$27:$O$29,"&gt;"&amp;('Run 2'!$O$30*0.1+'Run 2'!$O$30)),"")</f>
        <v/>
      </c>
      <c r="J22" s="89" t="str">
        <f>IF($I22="","",VLOOKUP($I22,'Run 2'!$J$23:$O$30,6,FALSE))</f>
        <v/>
      </c>
      <c r="K22" s="91" t="str">
        <f>IF(I22="","",'Run 2'!$J$30)</f>
        <v/>
      </c>
      <c r="L22" s="92" t="str">
        <f>IF(I22="","",'Run 2'!$O$30)</f>
        <v/>
      </c>
      <c r="M22" s="98" t="str">
        <f t="shared" si="1"/>
        <v/>
      </c>
    </row>
    <row r="23" spans="1:24" x14ac:dyDescent="0.3">
      <c r="A23" s="99" t="str">
        <f>'Starting Concentrations'!$A$8</f>
        <v>BPAP</v>
      </c>
      <c r="B23" s="100" t="str">
        <f>IF(AND(COUNTIFS('Run 2'!$N$31:$N$38,"&gt;150",'Run 2'!$P$31:$P$38,"&gt;50")=0,COUNTIFS('Run 2'!$O$31:$O$38,"&gt;200",'Run 2'!$P$31:$P$38,"&gt;50")=0),"Non-sensitizer","Sensitizer")</f>
        <v>Sensitizer</v>
      </c>
      <c r="C23" s="101" t="str">
        <f>IF($B$10="Non-Sensitizer",IF(AND(OR('Starting Concentrations'!$B$8=5000,'Starting Concentrations'!$B$8=1000),COUNTIF('Run 2'!$P$31:$P$38,"&gt;50")&gt;=4),"Yes",IF(AND('Run 2'!$P$31&lt;90,COUNTIF('Run 2'!$P$31:$P$38,"&gt;50")&gt;=4),"Yes","No")),IF(COUNTIF('Run 2'!$P$31:$P$38,"&gt;50")&gt;=4,"Yes","No"))</f>
        <v>Yes</v>
      </c>
      <c r="D23" s="102">
        <f>IF(_xlfn.MINIFS('Run 2'!$J$31:$J$38,'Run 2'!$P$31:$P$38,"&gt;50",'Run 2'!$O$31:$O$38,"&gt;200")&gt;0,_xlfn.MINIFS('Run 2'!$J$31:$J$38,'Run 2'!$P$31:$P$38,"&gt;50",'Run 2'!$O$31:$O$38,"&gt;200"),"")</f>
        <v>20.500000000000004</v>
      </c>
      <c r="E23" s="103">
        <f>IF($D23="","",VLOOKUP($D23,'Run 2'!$J$31:$O$38,6,FALSE))</f>
        <v>281.06005436176213</v>
      </c>
      <c r="F23" s="104">
        <f>IF(_xlfn.MAXIFS('Run 2'!$J$31:$J$38,'Run 2'!$J$31:$J$38,"&lt;"&amp;D23)&gt;0,_xlfn.MAXIFS('Run 2'!$J$31:$J$38,'Run 2'!$J$31:$J$38,"&lt;"&amp;D23),"")</f>
        <v>17.083333333333336</v>
      </c>
      <c r="G23" s="103">
        <f>IF($F23="","",VLOOKUP($F23,'Run 2'!$J$31:$O$38,6,FALSE))</f>
        <v>184.61869839478945</v>
      </c>
      <c r="H23" s="143">
        <f t="shared" si="0"/>
        <v>17.628252885298849</v>
      </c>
      <c r="I23" s="102" t="str">
        <f>IF(_xlfn.MINIFS('Run 2'!$J$35:$J$37,'Run 2'!$O$35:$O$37,"&gt;200",'Run 2'!$O$35:$O$37,"&gt;"&amp;('Run 2'!$O$38*0.1+'Run 2'!$O$38))&gt;0,_xlfn.MINIFS('Run 2'!$J$35:$J$37,'Run 2'!$O$35:$O$37,"&gt;"&amp;('Run 2'!$O$38*0.1+'Run 2'!$O$38)),"")</f>
        <v/>
      </c>
      <c r="J23" s="103" t="str">
        <f>IF($I23="","",VLOOKUP($I23,'Run 2'!$J$31:$O$38,6,FALSE))</f>
        <v/>
      </c>
      <c r="K23" s="106" t="str">
        <f>IF(I23="","",'Run 2'!$J$38)</f>
        <v/>
      </c>
      <c r="L23" s="103" t="str">
        <f>IF(I23="","",'Run 2'!$O$38)</f>
        <v/>
      </c>
      <c r="M23" s="105" t="str">
        <f t="shared" si="1"/>
        <v/>
      </c>
    </row>
    <row r="24" spans="1:24" ht="15" thickBot="1" x14ac:dyDescent="0.35">
      <c r="A24" s="107" t="str">
        <f>'Starting Concentrations'!$A$9</f>
        <v>BPE</v>
      </c>
      <c r="B24" s="108" t="str">
        <f>IF(AND(COUNTIFS('Run 2'!$N$39:$N$46,"&gt;150",'Run 2'!$P$39:$P$46,"&gt;50")=0,COUNTIFS('Run 2'!$O$39:$O$46,"&gt;200",'Run 2'!$P$39:$P$46,"&gt;50")=0),"Non-sensitizer","Sensitizer")</f>
        <v>Sensitizer</v>
      </c>
      <c r="C24" s="109" t="str">
        <f>IF($B$11="Non-Sensitizer",IF(AND(OR('Starting Concentrations'!$B$9=5000,'Starting Concentrations'!$B$9=1000),COUNTIF('Run 2'!$P$39:$P$46,"&gt;50")&gt;=4),"Yes",IF(AND('Run 2'!$P$39&lt;90,COUNTIF('Run 2'!$P$39:$P$46,"&gt;50")&gt;=4),"Yes","No")),IF(COUNTIF('Run 2'!$P$39:$P$46,"&gt;50")&gt;=4,"Yes","No"))</f>
        <v>Yes</v>
      </c>
      <c r="D24" s="110">
        <f>IF(_xlfn.MINIFS('Run 2'!$J$39:$J$46,'Run 2'!$P$39:$P$46,"&gt;50",'Run 2'!$O$39:$O$46,"&gt;200")&gt;0,_xlfn.MINIFS('Run 2'!$J$39:$J$46,'Run 2'!$P$39:$P$46,"&gt;50",'Run 2'!$O$39:$O$46,"&gt;200"),"")</f>
        <v>46.12268518518519</v>
      </c>
      <c r="E24" s="111">
        <f>IF($D24="","",VLOOKUP($D24,'Run 2'!$J$39:$O$46,6,FALSE))</f>
        <v>200.84363300682088</v>
      </c>
      <c r="F24" s="112">
        <f>IF(_xlfn.MAXIFS('Run 2'!$J$39:$J$46,'Run 2'!$J$39:$J$46,"&lt;"&amp;D24)&gt;0,_xlfn.MAXIFS('Run 2'!$J$39:$J$46,'Run 2'!$J$39:$J$46,"&lt;"&amp;D24),"")</f>
        <v>38.43557098765433</v>
      </c>
      <c r="G24" s="111">
        <f>IF($F24="","",VLOOKUP($F24,'Run 2'!$J$39:$O$46,6,FALSE))</f>
        <v>178.38401969331758</v>
      </c>
      <c r="H24" s="124">
        <f t="shared" si="0"/>
        <v>45.833940086428775</v>
      </c>
      <c r="I24" s="110" t="str">
        <f>IF(_xlfn.MINIFS('Run 2'!$J$43:$J$45,'Run 2'!$O$43:$O$45,"&gt;200",'Run 2'!$O$43:$O$45,"&gt;"&amp;('Run 2'!$O$46*0.1+'Run 2'!$O$46))&gt;0,_xlfn.MINIFS('Run 2'!$J$43:$J$45,'Run 2'!$O$43:$O$45,"&gt;"&amp;('Run 2'!$O$46*0.1+'Run 2'!$O$46)),"")</f>
        <v/>
      </c>
      <c r="J24" s="111" t="str">
        <f>IF($I24="","",VLOOKUP($I24,'Run 2'!$J$39:$O$46,6,FALSE))</f>
        <v/>
      </c>
      <c r="K24" s="114" t="str">
        <f>IF(I24="","",'Run 2'!$J$46)</f>
        <v/>
      </c>
      <c r="L24" s="111" t="str">
        <f>IF(I24="","",'Run 2'!$O$46)</f>
        <v/>
      </c>
      <c r="M24" s="113" t="str">
        <f t="shared" si="1"/>
        <v/>
      </c>
    </row>
    <row r="26" spans="1:24" ht="15" customHeight="1" x14ac:dyDescent="0.3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</row>
    <row r="27" spans="1:24" x14ac:dyDescent="0.3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5"/>
      <c r="T27" s="75"/>
      <c r="U27" s="75"/>
      <c r="V27" s="75"/>
      <c r="W27" s="75"/>
      <c r="X27" s="75"/>
    </row>
    <row r="28" spans="1:24" x14ac:dyDescent="0.3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5"/>
      <c r="T28" s="75"/>
      <c r="U28" s="75"/>
      <c r="V28" s="75"/>
      <c r="W28" s="75"/>
      <c r="X28" s="75"/>
    </row>
    <row r="29" spans="1:24" x14ac:dyDescent="0.3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5"/>
      <c r="T29" s="75"/>
    </row>
    <row r="30" spans="1:24" ht="15" customHeight="1" x14ac:dyDescent="0.3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5"/>
      <c r="T30" s="75"/>
    </row>
    <row r="31" spans="1:24" ht="15" customHeight="1" x14ac:dyDescent="0.3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5"/>
      <c r="T31" s="75"/>
    </row>
    <row r="32" spans="1:24" ht="15" customHeight="1" x14ac:dyDescent="0.3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</row>
    <row r="33" spans="1:18" ht="15" customHeight="1" x14ac:dyDescent="0.3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</row>
    <row r="34" spans="1:18" ht="15" customHeight="1" x14ac:dyDescent="0.3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</row>
    <row r="35" spans="1:18" x14ac:dyDescent="0.3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</row>
    <row r="36" spans="1:18" x14ac:dyDescent="0.3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</row>
  </sheetData>
  <mergeCells count="12">
    <mergeCell ref="D14:M14"/>
    <mergeCell ref="A15:A16"/>
    <mergeCell ref="B15:B16"/>
    <mergeCell ref="C15:C16"/>
    <mergeCell ref="D15:H15"/>
    <mergeCell ref="I15:M15"/>
    <mergeCell ref="D1:M1"/>
    <mergeCell ref="A2:A3"/>
    <mergeCell ref="B2:B3"/>
    <mergeCell ref="C2:C3"/>
    <mergeCell ref="D2:H2"/>
    <mergeCell ref="I2:M2"/>
  </mergeCells>
  <conditionalFormatting sqref="B4:C11 B17:C24">
    <cfRule type="expression" dxfId="33" priority="23" stopIfTrue="1">
      <formula>$C4="No"</formula>
    </cfRule>
  </conditionalFormatting>
  <conditionalFormatting sqref="D4:H11 D17:H24">
    <cfRule type="expression" dxfId="24" priority="24">
      <formula>COUNTBLANK($D4:$G4)&gt;1</formula>
    </cfRule>
  </conditionalFormatting>
  <conditionalFormatting sqref="D4:M11 D17:M24">
    <cfRule type="expression" dxfId="23" priority="12">
      <formula>$B4="Non-sensitizer"</formula>
    </cfRule>
  </conditionalFormatting>
  <conditionalFormatting sqref="D4:M11 D17:M24">
    <cfRule type="expression" dxfId="22" priority="11" stopIfTrue="1">
      <formula>$C4="No"</formula>
    </cfRule>
  </conditionalFormatting>
  <conditionalFormatting sqref="I4:M11 I17:M24">
    <cfRule type="expression" dxfId="21" priority="25">
      <formula>COUNTBLANK($H4)=0</formula>
    </cfRule>
    <cfRule type="expression" dxfId="20" priority="26">
      <formula>COUNTBLANK($I4:$M4)&gt;1</formula>
    </cfRule>
  </conditionalFormatting>
  <printOptions horizontalCentered="1"/>
  <pageMargins left="0.3" right="0.22" top="1.32" bottom="0.75" header="0.68" footer="0.3"/>
  <pageSetup scale="89" orientation="landscape" r:id="rId1"/>
  <headerFooter>
    <oddHeader>&amp;CNIEHSO 20180515
EC150 &amp; EC200
BRTIV 14, 120, 161-168 - Run 2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1C555313-BF11-495A-B700-3ADC4ADB7A1F}">
            <xm:f>COUNTIF('Run 2'!$C$23:$E$30,"&gt;0")=0</xm:f>
            <x14:dxf>
              <fill>
                <patternFill>
                  <bgColor rgb="FF92D050"/>
                </patternFill>
              </fill>
            </x14:dxf>
          </x14:cfRule>
          <xm:sqref>A4 A17</xm:sqref>
        </x14:conditionalFormatting>
        <x14:conditionalFormatting xmlns:xm="http://schemas.microsoft.com/office/excel/2006/main">
          <x14:cfRule type="expression" priority="16" id="{F5A5EB6D-6A90-44EF-ADFA-F3E4AC78F6EF}">
            <xm:f>COUNTIF('Run 2'!$C$31:$E$38,"&gt;0")=0</xm:f>
            <x14:dxf>
              <fill>
                <patternFill>
                  <bgColor rgb="FF92D050"/>
                </patternFill>
              </fill>
            </x14:dxf>
          </x14:cfRule>
          <xm:sqref>A5 A18</xm:sqref>
        </x14:conditionalFormatting>
        <x14:conditionalFormatting xmlns:xm="http://schemas.microsoft.com/office/excel/2006/main">
          <x14:cfRule type="expression" priority="17" id="{6A4EC562-6568-4A52-8AEC-CEA29484B3F6}">
            <xm:f>COUNTIF('Run 2'!$C$39:$E$46,"&gt;0")=0</xm:f>
            <x14:dxf>
              <fill>
                <patternFill>
                  <bgColor rgb="FF92D050"/>
                </patternFill>
              </fill>
            </x14:dxf>
          </x14:cfRule>
          <xm:sqref>A6 A19</xm:sqref>
        </x14:conditionalFormatting>
        <x14:conditionalFormatting xmlns:xm="http://schemas.microsoft.com/office/excel/2006/main">
          <x14:cfRule type="expression" priority="18" id="{0BF16BB7-0DA8-489E-884D-E89BAC76A898}">
            <xm:f>COUNTIF('Run 2'!$K$7:$M$14,"&gt;0")=0</xm:f>
            <x14:dxf>
              <fill>
                <patternFill>
                  <bgColor rgb="FF92D050"/>
                </patternFill>
              </fill>
            </x14:dxf>
          </x14:cfRule>
          <xm:sqref>A7 A20</xm:sqref>
        </x14:conditionalFormatting>
        <x14:conditionalFormatting xmlns:xm="http://schemas.microsoft.com/office/excel/2006/main">
          <x14:cfRule type="expression" priority="19" id="{36423AD5-2D2E-447A-86C7-9FF2F4A1CD84}">
            <xm:f>COUNTIF('Run 2'!$K$15:$M$22,"&gt;0")=0</xm:f>
            <x14:dxf>
              <fill>
                <patternFill>
                  <bgColor rgb="FF92D050"/>
                </patternFill>
              </fill>
            </x14:dxf>
          </x14:cfRule>
          <xm:sqref>A8 A21</xm:sqref>
        </x14:conditionalFormatting>
        <x14:conditionalFormatting xmlns:xm="http://schemas.microsoft.com/office/excel/2006/main">
          <x14:cfRule type="expression" priority="20" id="{1CC0EE44-6E94-4701-A976-9EA16A2AC750}">
            <xm:f>COUNTIF('Run 2'!$K$23:$M$30,"&gt;0")=0</xm:f>
            <x14:dxf>
              <fill>
                <patternFill>
                  <bgColor rgb="FF92D050"/>
                </patternFill>
              </fill>
            </x14:dxf>
          </x14:cfRule>
          <xm:sqref>A9 A22</xm:sqref>
        </x14:conditionalFormatting>
        <x14:conditionalFormatting xmlns:xm="http://schemas.microsoft.com/office/excel/2006/main">
          <x14:cfRule type="expression" priority="21" id="{8CAE5A40-67E8-455E-854B-A8C9BA9FDE14}">
            <xm:f>COUNTIF('Run 2'!$K$31:$M$38,"&gt;0")=0</xm:f>
            <x14:dxf>
              <fill>
                <patternFill>
                  <bgColor rgb="FF92D050"/>
                </patternFill>
              </fill>
            </x14:dxf>
          </x14:cfRule>
          <xm:sqref>A10 A23</xm:sqref>
        </x14:conditionalFormatting>
        <x14:conditionalFormatting xmlns:xm="http://schemas.microsoft.com/office/excel/2006/main">
          <x14:cfRule type="expression" priority="22" id="{5AB2C265-A2B3-4B4C-B5C6-EC65F803CB4C}">
            <xm:f>COUNTIF('Run 2'!$K$39:$M$46,"&gt;0")=0</xm:f>
            <x14:dxf>
              <fill>
                <patternFill>
                  <bgColor rgb="FF92D050"/>
                </patternFill>
              </fill>
            </x14:dxf>
          </x14:cfRule>
          <xm:sqref>A11 A24</xm:sqref>
        </x14:conditionalFormatting>
        <x14:conditionalFormatting xmlns:xm="http://schemas.microsoft.com/office/excel/2006/main">
          <x14:cfRule type="expression" priority="3" id="{74E1B05E-71A2-4FB5-ADE0-A134608FA0E4}">
            <xm:f>COUNTIF('Run 2'!$C$23:$E$30,"&gt;0")=0</xm:f>
            <x14:dxf>
              <font>
                <color rgb="FF92D050"/>
              </font>
              <fill>
                <patternFill>
                  <bgColor rgb="FF92D050"/>
                </patternFill>
              </fill>
            </x14:dxf>
          </x14:cfRule>
          <xm:sqref>B4:M4 B17:M17</xm:sqref>
        </x14:conditionalFormatting>
        <x14:conditionalFormatting xmlns:xm="http://schemas.microsoft.com/office/excel/2006/main">
          <x14:cfRule type="expression" priority="4" id="{1FAEF34A-CAF0-44FA-A97C-EF9AB1DBF37C}">
            <xm:f>COUNTIF('Run 2'!$C$31:$E$38,"&gt;0")=0</xm:f>
            <x14:dxf>
              <font>
                <color rgb="FF92D050"/>
              </font>
              <fill>
                <patternFill>
                  <bgColor rgb="FF92D050"/>
                </patternFill>
              </fill>
            </x14:dxf>
          </x14:cfRule>
          <xm:sqref>B5:M5 B18:M18</xm:sqref>
        </x14:conditionalFormatting>
        <x14:conditionalFormatting xmlns:xm="http://schemas.microsoft.com/office/excel/2006/main">
          <x14:cfRule type="expression" priority="5" id="{86E3BAF9-912B-42F9-B283-961A9AFEC793}">
            <xm:f>COUNTIF('Run 2'!$C$39:$E$46,"&gt;0")=0</xm:f>
            <x14:dxf>
              <font>
                <color rgb="FF92D050"/>
              </font>
              <fill>
                <patternFill>
                  <bgColor rgb="FF92D050"/>
                </patternFill>
              </fill>
            </x14:dxf>
          </x14:cfRule>
          <xm:sqref>B6:M6 B19:M19</xm:sqref>
        </x14:conditionalFormatting>
        <x14:conditionalFormatting xmlns:xm="http://schemas.microsoft.com/office/excel/2006/main">
          <x14:cfRule type="expression" priority="6" id="{2C497731-72AB-4314-8393-48AB4CDA1F4D}">
            <xm:f>COUNTIF('Run 2'!$K$7:$M$14,"&gt;0")=0</xm:f>
            <x14:dxf>
              <font>
                <color rgb="FF92D050"/>
              </font>
              <fill>
                <patternFill>
                  <bgColor rgb="FF92D050"/>
                </patternFill>
              </fill>
            </x14:dxf>
          </x14:cfRule>
          <xm:sqref>B7:M7 B20:M20</xm:sqref>
        </x14:conditionalFormatting>
        <x14:conditionalFormatting xmlns:xm="http://schemas.microsoft.com/office/excel/2006/main">
          <x14:cfRule type="expression" priority="7" id="{1938D899-ECB7-49B8-B41E-8481F48315DB}">
            <xm:f>COUNTIF('Run 2'!$K$15:$M$22,"&gt;0")=0</xm:f>
            <x14:dxf>
              <font>
                <color rgb="FF92D050"/>
              </font>
              <fill>
                <patternFill>
                  <bgColor rgb="FF92D050"/>
                </patternFill>
              </fill>
            </x14:dxf>
          </x14:cfRule>
          <xm:sqref>B8:M8 B21:M21</xm:sqref>
        </x14:conditionalFormatting>
        <x14:conditionalFormatting xmlns:xm="http://schemas.microsoft.com/office/excel/2006/main">
          <x14:cfRule type="expression" priority="8" id="{81BB3422-09CC-49F8-9407-CC76BF1E1FF8}">
            <xm:f>COUNTIF('Run 2'!$K$23:$M$30,"&gt;0")=0</xm:f>
            <x14:dxf>
              <font>
                <color rgb="FF92D050"/>
              </font>
              <fill>
                <patternFill>
                  <bgColor rgb="FF92D050"/>
                </patternFill>
              </fill>
            </x14:dxf>
          </x14:cfRule>
          <xm:sqref>B9:M9 B22:M22</xm:sqref>
        </x14:conditionalFormatting>
        <x14:conditionalFormatting xmlns:xm="http://schemas.microsoft.com/office/excel/2006/main">
          <x14:cfRule type="expression" priority="9" id="{B7D969DE-62DA-43C3-B65B-C7952164E1B4}">
            <xm:f>COUNTIF('Run 2'!$K$31:$M$38,"&gt;0")=0</xm:f>
            <x14:dxf>
              <font>
                <color rgb="FF92D050"/>
              </font>
              <fill>
                <patternFill>
                  <bgColor rgb="FF92D050"/>
                </patternFill>
              </fill>
            </x14:dxf>
          </x14:cfRule>
          <xm:sqref>B10:M10 B23:M23</xm:sqref>
        </x14:conditionalFormatting>
        <x14:conditionalFormatting xmlns:xm="http://schemas.microsoft.com/office/excel/2006/main">
          <x14:cfRule type="expression" priority="10" id="{71C25501-FD66-4B14-83C6-2F6275461B42}">
            <xm:f>COUNTIF('Run 2'!$K$39:$M$46,"&gt;0")=0</xm:f>
            <x14:dxf>
              <font>
                <color rgb="FF92D050"/>
              </font>
              <fill>
                <patternFill>
                  <bgColor rgb="FF92D050"/>
                </patternFill>
              </fill>
            </x14:dxf>
          </x14:cfRule>
          <xm:sqref>B11:M11 B24:M24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FFCC"/>
    <pageSetUpPr fitToPage="1"/>
  </sheetPr>
  <dimension ref="A1:Q289"/>
  <sheetViews>
    <sheetView zoomScale="85" zoomScaleNormal="85" workbookViewId="0"/>
  </sheetViews>
  <sheetFormatPr defaultRowHeight="14.4" x14ac:dyDescent="0.3"/>
  <cols>
    <col min="1" max="1" width="11.5546875" style="4" customWidth="1"/>
    <col min="2" max="2" width="15.109375" style="4" bestFit="1" customWidth="1"/>
    <col min="3" max="8" width="11.33203125" customWidth="1"/>
    <col min="15" max="15" width="21.5546875" customWidth="1"/>
    <col min="16" max="16" width="12.88671875" customWidth="1"/>
  </cols>
  <sheetData>
    <row r="1" spans="1:16" ht="15" thickBot="1" x14ac:dyDescent="0.35">
      <c r="O1" t="s">
        <v>290</v>
      </c>
      <c r="P1" t="s">
        <v>291</v>
      </c>
    </row>
    <row r="2" spans="1:16" ht="28.8" x14ac:dyDescent="0.3">
      <c r="A2" s="30" t="s">
        <v>1</v>
      </c>
      <c r="B2" s="30" t="s">
        <v>0</v>
      </c>
      <c r="C2" s="31" t="s">
        <v>91</v>
      </c>
      <c r="D2" s="31" t="s">
        <v>92</v>
      </c>
      <c r="E2" s="32" t="s">
        <v>263</v>
      </c>
      <c r="F2" s="34" t="s">
        <v>264</v>
      </c>
      <c r="G2" s="38" t="s">
        <v>265</v>
      </c>
      <c r="H2" s="67" t="s">
        <v>276</v>
      </c>
      <c r="I2" s="34" t="s">
        <v>282</v>
      </c>
      <c r="J2" s="38" t="s">
        <v>283</v>
      </c>
      <c r="O2" t="s">
        <v>94</v>
      </c>
      <c r="P2" t="s">
        <v>292</v>
      </c>
    </row>
    <row r="3" spans="1:16" ht="15.9" customHeight="1" x14ac:dyDescent="0.3">
      <c r="A3" s="166" t="s">
        <v>275</v>
      </c>
      <c r="B3" s="16" t="s">
        <v>89</v>
      </c>
      <c r="C3" s="16">
        <f>O52</f>
        <v>3702.54</v>
      </c>
      <c r="D3" s="16">
        <f>O53</f>
        <v>3771.25</v>
      </c>
      <c r="E3" s="23">
        <f>O54</f>
        <v>2309.2800000000002</v>
      </c>
      <c r="F3" s="43"/>
      <c r="G3" s="44"/>
      <c r="H3" s="74">
        <f>$P$54*100</f>
        <v>97.52</v>
      </c>
      <c r="I3" s="79">
        <f>(C3/$E$3)*100</f>
        <v>160.33309083350653</v>
      </c>
      <c r="J3" s="80">
        <f>(D3/$E$3)*100</f>
        <v>163.30847710108779</v>
      </c>
      <c r="O3" t="s">
        <v>95</v>
      </c>
      <c r="P3" t="s">
        <v>4</v>
      </c>
    </row>
    <row r="4" spans="1:16" ht="15.9" customHeight="1" thickBot="1" x14ac:dyDescent="0.35">
      <c r="A4" s="167"/>
      <c r="B4" s="11" t="s">
        <v>90</v>
      </c>
      <c r="C4" s="11">
        <f>O55</f>
        <v>3738.22</v>
      </c>
      <c r="D4" s="11">
        <f>O56</f>
        <v>3864.65</v>
      </c>
      <c r="E4" s="24">
        <f>O57</f>
        <v>2181.41</v>
      </c>
      <c r="F4" s="36">
        <f>(($C4-$E4)/($C$3-$E$3))*100</f>
        <v>111.73865610151732</v>
      </c>
      <c r="G4" s="40">
        <f>((D4-$E4)/($D$3-$E$3))*100</f>
        <v>115.13505749091981</v>
      </c>
      <c r="H4" s="64">
        <f>$P$57*100</f>
        <v>97.43</v>
      </c>
      <c r="I4" s="81">
        <f>(C4/$E$4)*100</f>
        <v>171.36714326972003</v>
      </c>
      <c r="J4" s="82">
        <f>(D4/$E$4)*100</f>
        <v>177.16293589925783</v>
      </c>
      <c r="N4" t="s">
        <v>3</v>
      </c>
      <c r="O4" s="21">
        <v>5349.53</v>
      </c>
      <c r="P4" s="7">
        <v>0.3407</v>
      </c>
    </row>
    <row r="5" spans="1:16" ht="15.9" customHeight="1" x14ac:dyDescent="0.3">
      <c r="A5" s="167"/>
      <c r="B5" s="20" t="s">
        <v>293</v>
      </c>
      <c r="C5" s="20">
        <f>O58</f>
        <v>9680.76</v>
      </c>
      <c r="D5" s="20">
        <f>O59</f>
        <v>6168.65</v>
      </c>
      <c r="E5" s="29">
        <f>O60</f>
        <v>2722.78</v>
      </c>
      <c r="F5" s="36">
        <f>(($C5-$E5)/($C$4-$E$4))*100</f>
        <v>446.93829047860686</v>
      </c>
      <c r="G5" s="40">
        <f>((D5-$E5)/($D$4-$E$4))*100</f>
        <v>204.71649913262513</v>
      </c>
      <c r="H5" s="78">
        <f>$P$60*100</f>
        <v>80.69</v>
      </c>
      <c r="N5" t="s">
        <v>5</v>
      </c>
      <c r="O5" s="21">
        <v>5572.74</v>
      </c>
      <c r="P5" s="7">
        <v>0.33729999999999999</v>
      </c>
    </row>
    <row r="6" spans="1:16" ht="15.9" customHeight="1" x14ac:dyDescent="0.3">
      <c r="A6" s="168"/>
      <c r="B6" s="20" t="s">
        <v>294</v>
      </c>
      <c r="C6" s="14">
        <f>O61</f>
        <v>7759.49</v>
      </c>
      <c r="D6" s="14">
        <f>O62</f>
        <v>5074.45</v>
      </c>
      <c r="E6" s="25">
        <f>O63</f>
        <v>2674.82</v>
      </c>
      <c r="F6" s="45">
        <f>(($C6-$E6)/($C$4-$E$4))*100</f>
        <v>326.60825662733413</v>
      </c>
      <c r="G6" s="158">
        <f>((D6-$E6)/($D$4-$E$4))*100</f>
        <v>142.56018155462081</v>
      </c>
      <c r="H6" s="65">
        <f>$P$63*100</f>
        <v>84.7</v>
      </c>
      <c r="N6" t="s">
        <v>6</v>
      </c>
      <c r="O6" s="21">
        <v>3929.82</v>
      </c>
      <c r="P6" s="7">
        <v>0.3473</v>
      </c>
    </row>
    <row r="7" spans="1:16" ht="15.9" customHeight="1" x14ac:dyDescent="0.3">
      <c r="A7" s="175" t="str">
        <f>'Starting Concentrations'!$A$5</f>
        <v>2,4-BPS</v>
      </c>
      <c r="B7" s="15">
        <f>('Starting Concentrations'!$B$5)</f>
        <v>205</v>
      </c>
      <c r="C7" s="17">
        <f>O4</f>
        <v>5349.53</v>
      </c>
      <c r="D7" s="17">
        <f>O5</f>
        <v>5572.74</v>
      </c>
      <c r="E7" s="26">
        <f>O6</f>
        <v>3929.82</v>
      </c>
      <c r="F7" s="35">
        <f>IF('Starting Concentrations'!$C$5="DMSO",(($C7-$E7)/($C$4-$E$4))*100,(($C7-$E7)/($C$3-$E$3))*100)</f>
        <v>91.193530360159542</v>
      </c>
      <c r="G7" s="39">
        <f>IF('Starting Concentrations'!$C$5="DMSO",(($D7-$E7)/($D$4-$E$4))*100,(($D7-$E7)/($D$3-$E$3))*100)</f>
        <v>97.604619662080239</v>
      </c>
      <c r="H7" s="71">
        <f>$P$6*100</f>
        <v>34.729999999999997</v>
      </c>
      <c r="N7" t="s">
        <v>7</v>
      </c>
      <c r="O7" s="21">
        <v>5429.3</v>
      </c>
      <c r="P7" s="7">
        <v>0.49990000000000001</v>
      </c>
    </row>
    <row r="8" spans="1:16" ht="15.9" customHeight="1" x14ac:dyDescent="0.3">
      <c r="A8" s="176"/>
      <c r="B8" s="2">
        <f>B7/1.2</f>
        <v>170.83333333333334</v>
      </c>
      <c r="C8" s="12">
        <f>O7</f>
        <v>5429.3</v>
      </c>
      <c r="D8" s="12">
        <f>O8</f>
        <v>5474.56</v>
      </c>
      <c r="E8" s="27">
        <f>O9</f>
        <v>3818.09</v>
      </c>
      <c r="F8" s="36">
        <f>IF('Starting Concentrations'!$C$5="DMSO",(($C8-$E8)/($C$4-$E$4))*100,(($C8-$E8)/($C$3-$E$3))*100)</f>
        <v>103.4943249336785</v>
      </c>
      <c r="G8" s="40">
        <f>IF('Starting Concentrations'!$C$5="DMSO",(($D8-$E8)/($D$4-$E$4))*100,(($D8-$E8)/($D$3-$E$3))*100)</f>
        <v>98.409614790523037</v>
      </c>
      <c r="H8" s="72">
        <f>$P$9*100</f>
        <v>50.5</v>
      </c>
      <c r="N8" t="s">
        <v>8</v>
      </c>
      <c r="O8" s="21">
        <v>5474.56</v>
      </c>
      <c r="P8" s="7">
        <v>0.50549999999999995</v>
      </c>
    </row>
    <row r="9" spans="1:16" ht="15.9" customHeight="1" x14ac:dyDescent="0.3">
      <c r="A9" s="176"/>
      <c r="B9" s="2">
        <f t="shared" ref="B9:B14" si="0">B8/1.2</f>
        <v>142.36111111111111</v>
      </c>
      <c r="C9" s="12">
        <f>O10</f>
        <v>5365.46</v>
      </c>
      <c r="D9" s="12">
        <f>O11</f>
        <v>6208.55</v>
      </c>
      <c r="E9" s="27">
        <f>O12</f>
        <v>3810.66</v>
      </c>
      <c r="F9" s="36">
        <f>IF('Starting Concentrations'!$C$5="DMSO",(($C9-$E9)/($C$4-$E$4))*100,(($C9-$E9)/($C$3-$E$3))*100)</f>
        <v>99.870889832413738</v>
      </c>
      <c r="G9" s="40">
        <f>IF('Starting Concentrations'!$C$5="DMSO",(($D9-$E9)/($D$4-$E$4))*100,(($D9-$E9)/($D$3-$E$3))*100)</f>
        <v>142.45680948646657</v>
      </c>
      <c r="H9" s="72">
        <f>$P$12*100</f>
        <v>70.22</v>
      </c>
      <c r="N9" t="s">
        <v>9</v>
      </c>
      <c r="O9" s="21">
        <v>3818.09</v>
      </c>
      <c r="P9" s="7">
        <v>0.505</v>
      </c>
    </row>
    <row r="10" spans="1:16" ht="15.9" customHeight="1" x14ac:dyDescent="0.3">
      <c r="A10" s="176"/>
      <c r="B10" s="2">
        <f t="shared" si="0"/>
        <v>118.63425925925927</v>
      </c>
      <c r="C10" s="12">
        <f>O13</f>
        <v>5351.47</v>
      </c>
      <c r="D10" s="12">
        <f>O14</f>
        <v>8300.8700000000008</v>
      </c>
      <c r="E10" s="27">
        <f>O15</f>
        <v>3704.44</v>
      </c>
      <c r="F10" s="36">
        <f>IF('Starting Concentrations'!$C$5="DMSO",(($C10-$E10)/($C$4-$E$4))*100,(($C10-$E10)/($C$3-$E$3))*100)</f>
        <v>105.79518374111166</v>
      </c>
      <c r="G10" s="40">
        <f>IF('Starting Concentrations'!$C$5="DMSO",(($D10-$E10)/($D$4-$E$4))*100,(($D10-$E10)/($D$3-$E$3))*100)</f>
        <v>273.07038806112018</v>
      </c>
      <c r="H10" s="72">
        <f>$P$15*100</f>
        <v>80.02</v>
      </c>
      <c r="N10" t="s">
        <v>10</v>
      </c>
      <c r="O10" s="21">
        <v>5365.46</v>
      </c>
      <c r="P10" s="7">
        <v>0.69340000000000002</v>
      </c>
    </row>
    <row r="11" spans="1:16" ht="15.9" customHeight="1" x14ac:dyDescent="0.3">
      <c r="A11" s="176"/>
      <c r="B11" s="119">
        <f t="shared" si="0"/>
        <v>98.861882716049394</v>
      </c>
      <c r="C11" s="12">
        <f>O16</f>
        <v>5404.95</v>
      </c>
      <c r="D11" s="12">
        <f>O17</f>
        <v>6953.73</v>
      </c>
      <c r="E11" s="27">
        <f>O18</f>
        <v>3747.27</v>
      </c>
      <c r="F11" s="36">
        <f>IF('Starting Concentrations'!$C$5="DMSO",(($C11-$E11)/($C$4-$E$4))*100,(($C11-$E11)/($C$3-$E$3))*100)</f>
        <v>106.47927492757626</v>
      </c>
      <c r="G11" s="40">
        <f>IF('Starting Concentrations'!$C$5="DMSO",(($D11-$E11)/($D$4-$E$4))*100,(($D11-$E11)/($D$3-$E$3))*100)</f>
        <v>190.49333428388104</v>
      </c>
      <c r="H11" s="72">
        <f>$P$18*100</f>
        <v>87.350000000000009</v>
      </c>
      <c r="N11" t="s">
        <v>11</v>
      </c>
      <c r="O11" s="21">
        <v>6208.55</v>
      </c>
      <c r="P11" s="7">
        <v>0.70579999999999998</v>
      </c>
    </row>
    <row r="12" spans="1:16" ht="15.9" customHeight="1" x14ac:dyDescent="0.3">
      <c r="A12" s="176"/>
      <c r="B12" s="119">
        <f t="shared" si="0"/>
        <v>82.384902263374499</v>
      </c>
      <c r="C12" s="12">
        <f>O19</f>
        <v>5311.24</v>
      </c>
      <c r="D12" s="12">
        <f>O20</f>
        <v>6892.85</v>
      </c>
      <c r="E12" s="27">
        <f>O21</f>
        <v>3749.54</v>
      </c>
      <c r="F12" s="36">
        <f>IF('Starting Concentrations'!$C$5="DMSO",(($C12-$E12)/($C$4-$E$4))*100,(($C12-$E12)/($C$3-$E$3))*100)</f>
        <v>100.31410384054573</v>
      </c>
      <c r="G12" s="40">
        <f>IF('Starting Concentrations'!$C$5="DMSO",(($D12-$E12)/($D$4-$E$4))*100,(($D12-$E12)/($D$3-$E$3))*100)</f>
        <v>186.74164112069579</v>
      </c>
      <c r="H12" s="72">
        <f>$P$21*100</f>
        <v>90.59</v>
      </c>
      <c r="N12" t="s">
        <v>12</v>
      </c>
      <c r="O12" s="21">
        <v>3810.66</v>
      </c>
      <c r="P12" s="7">
        <v>0.70220000000000005</v>
      </c>
    </row>
    <row r="13" spans="1:16" ht="15.9" customHeight="1" x14ac:dyDescent="0.3">
      <c r="A13" s="176"/>
      <c r="B13" s="119">
        <f t="shared" si="0"/>
        <v>68.654085219478759</v>
      </c>
      <c r="C13" s="12">
        <f>O22</f>
        <v>5540.46</v>
      </c>
      <c r="D13" s="12">
        <f>O23</f>
        <v>6912.36</v>
      </c>
      <c r="E13" s="27">
        <f>O24</f>
        <v>3707.41</v>
      </c>
      <c r="F13" s="36">
        <f>IF('Starting Concentrations'!$C$5="DMSO",(($C13-$E13)/($C$4-$E$4))*100,(($C13-$E13)/($C$3-$E$3))*100)</f>
        <v>117.74397646469386</v>
      </c>
      <c r="G13" s="40">
        <f>IF('Starting Concentrations'!$C$5="DMSO",(($D13-$E13)/($D$4-$E$4))*100,(($D13-$E13)/($D$3-$E$3))*100)</f>
        <v>190.4036263396782</v>
      </c>
      <c r="H13" s="72">
        <f>$P$24*100</f>
        <v>94.19</v>
      </c>
      <c r="N13" t="s">
        <v>13</v>
      </c>
      <c r="O13" s="21">
        <v>5351.47</v>
      </c>
      <c r="P13" s="7">
        <v>0.79879999999999995</v>
      </c>
    </row>
    <row r="14" spans="1:16" ht="15.9" customHeight="1" x14ac:dyDescent="0.3">
      <c r="A14" s="177"/>
      <c r="B14" s="120">
        <f t="shared" si="0"/>
        <v>57.211737682898971</v>
      </c>
      <c r="C14" s="13">
        <f>O25</f>
        <v>5314.53</v>
      </c>
      <c r="D14" s="13">
        <f>O26</f>
        <v>6807.57</v>
      </c>
      <c r="E14" s="28">
        <f>O27</f>
        <v>3618.2</v>
      </c>
      <c r="F14" s="37">
        <f>IF('Starting Concentrations'!$C$5="DMSO",(($C14-$E14)/($C$4-$E$4))*100,(($C14-$E14)/($C$3-$E$3))*100)</f>
        <v>108.96191571225775</v>
      </c>
      <c r="G14" s="41">
        <f>IF('Starting Concentrations'!$C$5="DMSO",(($D14-$E14)/($D$4-$E$4))*100,(($D14-$E14)/($D$3-$E$3))*100)</f>
        <v>189.47803046505544</v>
      </c>
      <c r="H14" s="73">
        <f>$P$27*100</f>
        <v>94.85</v>
      </c>
      <c r="N14" t="s">
        <v>83</v>
      </c>
      <c r="O14" s="21">
        <v>8300.8700000000008</v>
      </c>
      <c r="P14" s="7">
        <v>0.80789999999999995</v>
      </c>
    </row>
    <row r="15" spans="1:16" ht="15.9" customHeight="1" x14ac:dyDescent="0.3">
      <c r="A15" s="175" t="str">
        <f>'Starting Concentrations'!$A$6</f>
        <v>BPF</v>
      </c>
      <c r="B15" s="118">
        <f>('Starting Concentrations'!$B$6)</f>
        <v>69.8</v>
      </c>
      <c r="C15" s="16">
        <f>O28</f>
        <v>5192.4799999999996</v>
      </c>
      <c r="D15" s="16">
        <f>O29</f>
        <v>4788.93</v>
      </c>
      <c r="E15" s="23">
        <f>O30</f>
        <v>3655.73</v>
      </c>
      <c r="F15" s="35">
        <f>IF('Starting Concentrations'!$C$6="DMSO",(($C15-$E15)/($C$4-$E$4))*100,(($C15-$E15)/($C$3-$E$3))*100)</f>
        <v>98.711467680706036</v>
      </c>
      <c r="G15" s="39">
        <f>IF('Starting Concentrations'!$C$6="DMSO",(($D15-$E15)/($D$4-$E$4))*100,(($D15-$E15)/($D$3-$E$3))*100)</f>
        <v>67.322544616335165</v>
      </c>
      <c r="H15" s="63">
        <f>$P$30*100</f>
        <v>16.09</v>
      </c>
      <c r="N15" t="s">
        <v>14</v>
      </c>
      <c r="O15" s="21">
        <v>3704.44</v>
      </c>
      <c r="P15" s="7">
        <v>0.80020000000000002</v>
      </c>
    </row>
    <row r="16" spans="1:16" ht="15.9" customHeight="1" x14ac:dyDescent="0.3">
      <c r="A16" s="176"/>
      <c r="B16" s="119">
        <f>B15/1.2</f>
        <v>58.166666666666664</v>
      </c>
      <c r="C16" s="11">
        <f>O31</f>
        <v>4369.57</v>
      </c>
      <c r="D16" s="11">
        <f>O32</f>
        <v>5399.18</v>
      </c>
      <c r="E16" s="24">
        <f>O33</f>
        <v>3024.27</v>
      </c>
      <c r="F16" s="36">
        <f>IF('Starting Concentrations'!$C$6="DMSO",(($C16-$E16)/($C$4-$E$4))*100,(($C16-$E16)/($C$3-$E$3))*100)</f>
        <v>86.413884802898224</v>
      </c>
      <c r="G16" s="40">
        <f>IF('Starting Concentrations'!$C$6="DMSO",(($D16-$E16)/($D$4-$E$4))*100,(($D16-$E16)/($D$3-$E$3))*100)</f>
        <v>141.09158527601531</v>
      </c>
      <c r="H16" s="64">
        <f>$P$33*100</f>
        <v>71.960000000000008</v>
      </c>
      <c r="N16" t="s">
        <v>15</v>
      </c>
      <c r="O16" s="21">
        <v>5404.95</v>
      </c>
      <c r="P16" s="7">
        <v>0.87009999999999998</v>
      </c>
    </row>
    <row r="17" spans="1:16" ht="15.9" customHeight="1" x14ac:dyDescent="0.3">
      <c r="A17" s="176"/>
      <c r="B17" s="119">
        <f t="shared" ref="B17:B22" si="1">B16/1.2</f>
        <v>48.472222222222221</v>
      </c>
      <c r="C17" s="11">
        <f>O34</f>
        <v>4369.66</v>
      </c>
      <c r="D17" s="11">
        <f>O35</f>
        <v>5877.83</v>
      </c>
      <c r="E17" s="24">
        <f>O36</f>
        <v>3010.5</v>
      </c>
      <c r="F17" s="36">
        <f>IF('Starting Concentrations'!$C$6="DMSO",(($C17-$E17)/($C$4-$E$4))*100,(($C17-$E17)/($C$3-$E$3))*100)</f>
        <v>87.304166854015577</v>
      </c>
      <c r="G17" s="40">
        <f>IF('Starting Concentrations'!$C$6="DMSO",(($D17-$E17)/($D$4-$E$4))*100,(($D17-$E17)/($D$3-$E$3))*100)</f>
        <v>170.3458805636748</v>
      </c>
      <c r="H17" s="64">
        <f>$P$36*100</f>
        <v>84.7</v>
      </c>
      <c r="N17" t="s">
        <v>16</v>
      </c>
      <c r="O17" s="21">
        <v>6953.73</v>
      </c>
      <c r="P17" s="7">
        <v>0.877</v>
      </c>
    </row>
    <row r="18" spans="1:16" ht="15.9" customHeight="1" x14ac:dyDescent="0.3">
      <c r="A18" s="176"/>
      <c r="B18" s="119">
        <f t="shared" si="1"/>
        <v>40.393518518518519</v>
      </c>
      <c r="C18" s="11">
        <f>O37</f>
        <v>4487.2299999999996</v>
      </c>
      <c r="D18" s="11">
        <f>O38</f>
        <v>5958.34</v>
      </c>
      <c r="E18" s="24">
        <f>O39</f>
        <v>3071.25</v>
      </c>
      <c r="F18" s="36">
        <f>IF('Starting Concentrations'!$C$6="DMSO",(($C18-$E18)/($C$4-$E$4))*100,(($C18-$E18)/($C$3-$E$3))*100)</f>
        <v>90.953937860111353</v>
      </c>
      <c r="G18" s="40">
        <f>IF('Starting Concentrations'!$C$6="DMSO",(($D18-$E18)/($D$4-$E$4))*100,(($D18-$E18)/($D$3-$E$3))*100)</f>
        <v>171.51980703880611</v>
      </c>
      <c r="H18" s="64">
        <f>$P$39*100</f>
        <v>89.86</v>
      </c>
      <c r="N18" t="s">
        <v>17</v>
      </c>
      <c r="O18" s="21">
        <v>3747.27</v>
      </c>
      <c r="P18" s="7">
        <v>0.87350000000000005</v>
      </c>
    </row>
    <row r="19" spans="1:16" ht="15.9" customHeight="1" x14ac:dyDescent="0.3">
      <c r="A19" s="176"/>
      <c r="B19" s="119">
        <f t="shared" si="1"/>
        <v>33.661265432098766</v>
      </c>
      <c r="C19" s="11">
        <f>O40</f>
        <v>4524.76</v>
      </c>
      <c r="D19" s="11">
        <f>O41</f>
        <v>5607.8</v>
      </c>
      <c r="E19" s="24">
        <f>O42</f>
        <v>2913.61</v>
      </c>
      <c r="F19" s="36">
        <f>IF('Starting Concentrations'!$C$6="DMSO",(($C19-$E19)/($C$4-$E$4))*100,(($C19-$E19)/($C$3-$E$3))*100)</f>
        <v>103.49047089882517</v>
      </c>
      <c r="G19" s="40">
        <f>IF('Starting Concentrations'!$C$6="DMSO",(($D19-$E19)/($D$4-$E$4))*100,(($D19-$E19)/($D$3-$E$3))*100)</f>
        <v>160.05976568997883</v>
      </c>
      <c r="H19" s="64">
        <f>$P$42*100</f>
        <v>93.179999999999993</v>
      </c>
      <c r="N19" t="s">
        <v>18</v>
      </c>
      <c r="O19" s="21">
        <v>5311.24</v>
      </c>
      <c r="P19" s="7">
        <v>0.90910000000000002</v>
      </c>
    </row>
    <row r="20" spans="1:16" ht="15.9" customHeight="1" x14ac:dyDescent="0.3">
      <c r="A20" s="176"/>
      <c r="B20" s="119">
        <f t="shared" si="1"/>
        <v>28.051054526748974</v>
      </c>
      <c r="C20" s="11">
        <f>O43</f>
        <v>4356.29</v>
      </c>
      <c r="D20" s="11">
        <f>O44</f>
        <v>5390.23</v>
      </c>
      <c r="E20" s="24">
        <f>O45</f>
        <v>2739.26</v>
      </c>
      <c r="F20" s="36">
        <f>IF('Starting Concentrations'!$C$6="DMSO",(($C20-$E20)/($C$4-$E$4))*100,(($C20-$E20)/($C$3-$E$3))*100)</f>
        <v>103.86816631445069</v>
      </c>
      <c r="G20" s="40">
        <f>IF('Starting Concentrations'!$C$6="DMSO",(($D20-$E20)/($D$4-$E$4))*100,(($D20-$E20)/($D$3-$E$3))*100)</f>
        <v>157.49209857180193</v>
      </c>
      <c r="H20" s="64">
        <f>$P$45*100</f>
        <v>93.910000000000011</v>
      </c>
      <c r="N20" t="s">
        <v>19</v>
      </c>
      <c r="O20" s="21">
        <v>6892.85</v>
      </c>
      <c r="P20" s="7">
        <v>0.91010000000000002</v>
      </c>
    </row>
    <row r="21" spans="1:16" ht="15.9" customHeight="1" x14ac:dyDescent="0.3">
      <c r="A21" s="176"/>
      <c r="B21" s="119">
        <f t="shared" si="1"/>
        <v>23.375878772290811</v>
      </c>
      <c r="C21" s="11">
        <f>O46</f>
        <v>4316.54</v>
      </c>
      <c r="D21" s="11">
        <f>O47</f>
        <v>4738.5600000000004</v>
      </c>
      <c r="E21" s="24">
        <f>O48</f>
        <v>2585.19</v>
      </c>
      <c r="F21" s="36">
        <f>IF('Starting Concentrations'!$C$6="DMSO",(($C21-$E21)/($C$4-$E$4))*100,(($C21-$E21)/($C$3-$E$3))*100)</f>
        <v>111.21138738831328</v>
      </c>
      <c r="G21" s="40">
        <f>IF('Starting Concentrations'!$C$6="DMSO",(($D21-$E21)/($D$4-$E$4))*100,(($D21-$E21)/($D$3-$E$3))*100)</f>
        <v>127.93006344906253</v>
      </c>
      <c r="H21" s="64">
        <f>$P$48*100</f>
        <v>95.509999999999991</v>
      </c>
      <c r="N21" t="s">
        <v>20</v>
      </c>
      <c r="O21" s="21">
        <v>3749.54</v>
      </c>
      <c r="P21" s="7">
        <v>0.90590000000000004</v>
      </c>
    </row>
    <row r="22" spans="1:16" ht="15.9" customHeight="1" thickBot="1" x14ac:dyDescent="0.35">
      <c r="A22" s="177"/>
      <c r="B22" s="120">
        <f t="shared" si="1"/>
        <v>19.479898976909009</v>
      </c>
      <c r="C22" s="14">
        <f>O49</f>
        <v>4132.29</v>
      </c>
      <c r="D22" s="14">
        <f>O50</f>
        <v>4563.1400000000003</v>
      </c>
      <c r="E22" s="25">
        <f>O51</f>
        <v>2564.5</v>
      </c>
      <c r="F22" s="46">
        <f>IF('Starting Concentrations'!$C$6="DMSO",(($C22-$E22)/($C$4-$E$4))*100,(($C22-$E22)/($C$3-$E$3))*100)</f>
        <v>100.7052883781579</v>
      </c>
      <c r="G22" s="47">
        <f>IF('Starting Concentrations'!$C$6="DMSO",(($D22-$E22)/($D$4-$E$4))*100,(($D22-$E22)/($D$3-$E$3))*100)</f>
        <v>118.73767258382644</v>
      </c>
      <c r="H22" s="66">
        <f>$P$51*100</f>
        <v>95.789999999999992</v>
      </c>
      <c r="N22" t="s">
        <v>21</v>
      </c>
      <c r="O22" s="21">
        <v>5540.46</v>
      </c>
      <c r="P22" s="7">
        <v>0.94350000000000001</v>
      </c>
    </row>
    <row r="23" spans="1:16" ht="15.9" customHeight="1" x14ac:dyDescent="0.3">
      <c r="A23" s="159" t="s">
        <v>295</v>
      </c>
      <c r="N23" t="s">
        <v>22</v>
      </c>
      <c r="O23" s="21">
        <v>6912.36</v>
      </c>
      <c r="P23" s="7">
        <v>0.94099999999999995</v>
      </c>
    </row>
    <row r="24" spans="1:16" ht="15.9" customHeight="1" x14ac:dyDescent="0.3">
      <c r="N24" t="s">
        <v>23</v>
      </c>
      <c r="O24" s="21">
        <v>3707.41</v>
      </c>
      <c r="P24" s="7">
        <v>0.94189999999999996</v>
      </c>
    </row>
    <row r="25" spans="1:16" ht="15.9" customHeight="1" x14ac:dyDescent="0.3">
      <c r="N25" t="s">
        <v>24</v>
      </c>
      <c r="O25" s="21">
        <v>5314.53</v>
      </c>
      <c r="P25" s="7">
        <v>0.94620000000000004</v>
      </c>
    </row>
    <row r="26" spans="1:16" ht="15.9" customHeight="1" x14ac:dyDescent="0.3">
      <c r="N26" t="s">
        <v>84</v>
      </c>
      <c r="O26" s="21">
        <v>6807.57</v>
      </c>
      <c r="P26" s="7">
        <v>0.94620000000000004</v>
      </c>
    </row>
    <row r="27" spans="1:16" ht="15.9" customHeight="1" x14ac:dyDescent="0.3">
      <c r="N27" t="s">
        <v>25</v>
      </c>
      <c r="O27" s="21">
        <v>3618.2</v>
      </c>
      <c r="P27" s="7">
        <v>0.94850000000000001</v>
      </c>
    </row>
    <row r="28" spans="1:16" ht="15.9" customHeight="1" x14ac:dyDescent="0.3">
      <c r="N28" t="s">
        <v>26</v>
      </c>
      <c r="O28" s="21">
        <v>5192.4799999999996</v>
      </c>
      <c r="P28" s="7">
        <v>0.16889999999999999</v>
      </c>
    </row>
    <row r="29" spans="1:16" ht="15.9" customHeight="1" x14ac:dyDescent="0.3">
      <c r="N29" t="s">
        <v>27</v>
      </c>
      <c r="O29" s="21">
        <v>4788.93</v>
      </c>
      <c r="P29" s="7">
        <v>0.16020000000000001</v>
      </c>
    </row>
    <row r="30" spans="1:16" ht="15.9" customHeight="1" x14ac:dyDescent="0.3">
      <c r="N30" t="s">
        <v>28</v>
      </c>
      <c r="O30" s="21">
        <v>3655.73</v>
      </c>
      <c r="P30" s="7">
        <v>0.16089999999999999</v>
      </c>
    </row>
    <row r="31" spans="1:16" ht="15.9" customHeight="1" x14ac:dyDescent="0.3">
      <c r="N31" t="s">
        <v>29</v>
      </c>
      <c r="O31" s="21">
        <v>4369.57</v>
      </c>
      <c r="P31" s="7">
        <v>0.7077</v>
      </c>
    </row>
    <row r="32" spans="1:16" ht="15.9" customHeight="1" x14ac:dyDescent="0.3">
      <c r="N32" t="s">
        <v>30</v>
      </c>
      <c r="O32" s="21">
        <v>5399.18</v>
      </c>
      <c r="P32" s="7">
        <v>0.71640000000000004</v>
      </c>
    </row>
    <row r="33" spans="14:16" ht="15.9" customHeight="1" x14ac:dyDescent="0.3">
      <c r="N33" t="s">
        <v>31</v>
      </c>
      <c r="O33" s="21">
        <v>3024.27</v>
      </c>
      <c r="P33" s="7">
        <v>0.71960000000000002</v>
      </c>
    </row>
    <row r="34" spans="14:16" ht="15.9" customHeight="1" x14ac:dyDescent="0.3">
      <c r="N34" t="s">
        <v>32</v>
      </c>
      <c r="O34" s="21">
        <v>4369.66</v>
      </c>
      <c r="P34" s="7">
        <v>0.84250000000000003</v>
      </c>
    </row>
    <row r="35" spans="14:16" ht="15.9" customHeight="1" x14ac:dyDescent="0.3">
      <c r="N35" t="s">
        <v>33</v>
      </c>
      <c r="O35" s="21">
        <v>5877.83</v>
      </c>
      <c r="P35" s="7">
        <v>0.85050000000000003</v>
      </c>
    </row>
    <row r="36" spans="14:16" ht="15.9" customHeight="1" x14ac:dyDescent="0.3">
      <c r="N36" t="s">
        <v>34</v>
      </c>
      <c r="O36" s="21">
        <v>3010.5</v>
      </c>
      <c r="P36" s="7">
        <v>0.84699999999999998</v>
      </c>
    </row>
    <row r="37" spans="14:16" ht="15.9" customHeight="1" x14ac:dyDescent="0.3">
      <c r="N37" t="s">
        <v>35</v>
      </c>
      <c r="O37" s="21">
        <v>4487.2299999999996</v>
      </c>
      <c r="P37" s="7">
        <v>0.90959999999999996</v>
      </c>
    </row>
    <row r="38" spans="14:16" ht="15.9" customHeight="1" x14ac:dyDescent="0.3">
      <c r="N38" t="s">
        <v>36</v>
      </c>
      <c r="O38" s="21">
        <v>5958.34</v>
      </c>
      <c r="P38" s="7">
        <v>0.90629999999999999</v>
      </c>
    </row>
    <row r="39" spans="14:16" ht="15.9" customHeight="1" x14ac:dyDescent="0.3">
      <c r="N39" t="s">
        <v>37</v>
      </c>
      <c r="O39" s="21">
        <v>3071.25</v>
      </c>
      <c r="P39" s="7">
        <v>0.89859999999999995</v>
      </c>
    </row>
    <row r="40" spans="14:16" ht="15.9" customHeight="1" x14ac:dyDescent="0.3">
      <c r="N40" t="s">
        <v>38</v>
      </c>
      <c r="O40" s="21">
        <v>4524.76</v>
      </c>
      <c r="P40" s="7">
        <v>0.93210000000000004</v>
      </c>
    </row>
    <row r="41" spans="14:16" ht="15.9" customHeight="1" x14ac:dyDescent="0.3">
      <c r="N41" t="s">
        <v>39</v>
      </c>
      <c r="O41" s="21">
        <v>5607.8</v>
      </c>
      <c r="P41" s="7">
        <v>0.92889999999999995</v>
      </c>
    </row>
    <row r="42" spans="14:16" ht="15.9" customHeight="1" x14ac:dyDescent="0.3">
      <c r="N42" t="s">
        <v>40</v>
      </c>
      <c r="O42" s="21">
        <v>2913.61</v>
      </c>
      <c r="P42" s="7">
        <v>0.93179999999999996</v>
      </c>
    </row>
    <row r="43" spans="14:16" ht="15.9" customHeight="1" x14ac:dyDescent="0.3">
      <c r="N43" t="s">
        <v>41</v>
      </c>
      <c r="O43" s="21">
        <v>4356.29</v>
      </c>
      <c r="P43" s="7">
        <v>0.94850000000000001</v>
      </c>
    </row>
    <row r="44" spans="14:16" ht="15.9" customHeight="1" x14ac:dyDescent="0.3">
      <c r="N44" t="s">
        <v>42</v>
      </c>
      <c r="O44" s="21">
        <v>5390.23</v>
      </c>
      <c r="P44" s="7">
        <v>0.94479999999999997</v>
      </c>
    </row>
    <row r="45" spans="14:16" ht="15.9" customHeight="1" x14ac:dyDescent="0.3">
      <c r="N45" t="s">
        <v>43</v>
      </c>
      <c r="O45" s="21">
        <v>2739.26</v>
      </c>
      <c r="P45" s="7">
        <v>0.93910000000000005</v>
      </c>
    </row>
    <row r="46" spans="14:16" ht="15.9" customHeight="1" x14ac:dyDescent="0.3">
      <c r="N46" t="s">
        <v>44</v>
      </c>
      <c r="O46" s="21">
        <v>4316.54</v>
      </c>
      <c r="P46" s="7">
        <v>0.96030000000000004</v>
      </c>
    </row>
    <row r="47" spans="14:16" ht="15.9" customHeight="1" x14ac:dyDescent="0.3">
      <c r="N47" t="s">
        <v>45</v>
      </c>
      <c r="O47" s="21">
        <v>4738.5600000000004</v>
      </c>
      <c r="P47" s="7">
        <v>0.95789999999999997</v>
      </c>
    </row>
    <row r="48" spans="14:16" ht="15.9" customHeight="1" x14ac:dyDescent="0.3">
      <c r="N48" t="s">
        <v>46</v>
      </c>
      <c r="O48" s="21">
        <v>2585.19</v>
      </c>
      <c r="P48" s="7">
        <v>0.95509999999999995</v>
      </c>
    </row>
    <row r="49" spans="14:16" ht="15.9" customHeight="1" x14ac:dyDescent="0.3">
      <c r="N49" t="s">
        <v>47</v>
      </c>
      <c r="O49" s="21">
        <v>4132.29</v>
      </c>
      <c r="P49" s="7">
        <v>0.95779999999999998</v>
      </c>
    </row>
    <row r="50" spans="14:16" ht="15.9" customHeight="1" x14ac:dyDescent="0.3">
      <c r="N50" t="s">
        <v>48</v>
      </c>
      <c r="O50" s="21">
        <v>4563.1400000000003</v>
      </c>
      <c r="P50" s="7">
        <v>0.95130000000000003</v>
      </c>
    </row>
    <row r="51" spans="14:16" ht="15.9" customHeight="1" x14ac:dyDescent="0.3">
      <c r="N51" t="s">
        <v>49</v>
      </c>
      <c r="O51" s="21">
        <v>2564.5</v>
      </c>
      <c r="P51" s="7">
        <v>0.95789999999999997</v>
      </c>
    </row>
    <row r="52" spans="14:16" ht="15.9" customHeight="1" x14ac:dyDescent="0.3">
      <c r="N52" t="s">
        <v>85</v>
      </c>
      <c r="O52" s="21">
        <v>3702.54</v>
      </c>
      <c r="P52" s="7">
        <v>0.9748</v>
      </c>
    </row>
    <row r="53" spans="14:16" ht="15.9" customHeight="1" x14ac:dyDescent="0.3">
      <c r="N53" t="s">
        <v>50</v>
      </c>
      <c r="O53" s="21">
        <v>3771.25</v>
      </c>
      <c r="P53" s="7">
        <v>0.9788</v>
      </c>
    </row>
    <row r="54" spans="14:16" ht="15.9" customHeight="1" x14ac:dyDescent="0.3">
      <c r="N54" t="s">
        <v>51</v>
      </c>
      <c r="O54" s="21">
        <v>2309.2800000000002</v>
      </c>
      <c r="P54" s="7">
        <v>0.97519999999999996</v>
      </c>
    </row>
    <row r="55" spans="14:16" ht="15.9" customHeight="1" x14ac:dyDescent="0.3">
      <c r="N55" t="s">
        <v>52</v>
      </c>
      <c r="O55" s="21">
        <v>3738.22</v>
      </c>
      <c r="P55" s="7">
        <v>0.97460000000000002</v>
      </c>
    </row>
    <row r="56" spans="14:16" ht="15.9" customHeight="1" x14ac:dyDescent="0.3">
      <c r="N56" t="s">
        <v>53</v>
      </c>
      <c r="O56" s="21">
        <v>3864.65</v>
      </c>
      <c r="P56" s="7">
        <v>0.97919999999999996</v>
      </c>
    </row>
    <row r="57" spans="14:16" ht="15.9" customHeight="1" x14ac:dyDescent="0.3">
      <c r="N57" t="s">
        <v>54</v>
      </c>
      <c r="O57" s="21">
        <v>2181.41</v>
      </c>
      <c r="P57" s="7">
        <v>0.97430000000000005</v>
      </c>
    </row>
    <row r="58" spans="14:16" ht="15.9" customHeight="1" x14ac:dyDescent="0.3">
      <c r="N58" t="s">
        <v>55</v>
      </c>
      <c r="O58" s="21">
        <v>9680.76</v>
      </c>
      <c r="P58" s="7">
        <v>0.82899999999999996</v>
      </c>
    </row>
    <row r="59" spans="14:16" ht="15.9" customHeight="1" x14ac:dyDescent="0.3">
      <c r="N59" t="s">
        <v>56</v>
      </c>
      <c r="O59" s="21">
        <v>6168.65</v>
      </c>
      <c r="P59" s="7">
        <v>0.81859999999999999</v>
      </c>
    </row>
    <row r="60" spans="14:16" ht="15" customHeight="1" x14ac:dyDescent="0.3">
      <c r="N60" t="s">
        <v>57</v>
      </c>
      <c r="O60" s="21">
        <v>2722.78</v>
      </c>
      <c r="P60" s="7">
        <v>0.80689999999999995</v>
      </c>
    </row>
    <row r="61" spans="14:16" ht="15" customHeight="1" x14ac:dyDescent="0.3">
      <c r="N61" t="s">
        <v>58</v>
      </c>
      <c r="O61" s="21">
        <v>7759.49</v>
      </c>
      <c r="P61" s="7">
        <v>0.85270000000000001</v>
      </c>
    </row>
    <row r="62" spans="14:16" ht="15" customHeight="1" x14ac:dyDescent="0.3">
      <c r="N62" t="s">
        <v>59</v>
      </c>
      <c r="O62" s="21">
        <v>5074.45</v>
      </c>
      <c r="P62" s="7">
        <v>0.85389999999999999</v>
      </c>
    </row>
    <row r="63" spans="14:16" ht="15" customHeight="1" x14ac:dyDescent="0.3">
      <c r="N63" t="s">
        <v>60</v>
      </c>
      <c r="O63" s="21">
        <v>2674.82</v>
      </c>
      <c r="P63" s="7">
        <v>0.84699999999999998</v>
      </c>
    </row>
    <row r="64" spans="14:16" x14ac:dyDescent="0.3">
      <c r="N64" t="s">
        <v>60</v>
      </c>
      <c r="O64" s="21"/>
      <c r="P64" s="7"/>
    </row>
    <row r="65" spans="1:16" x14ac:dyDescent="0.3">
      <c r="N65" t="s">
        <v>61</v>
      </c>
      <c r="O65" s="21"/>
      <c r="P65" s="7"/>
    </row>
    <row r="66" spans="1:16" x14ac:dyDescent="0.3">
      <c r="N66" t="s">
        <v>62</v>
      </c>
      <c r="O66" s="21"/>
      <c r="P66" s="7"/>
    </row>
    <row r="67" spans="1:16" x14ac:dyDescent="0.3">
      <c r="N67" t="s">
        <v>86</v>
      </c>
      <c r="O67" s="21"/>
      <c r="P67" s="7"/>
    </row>
    <row r="68" spans="1:16" x14ac:dyDescent="0.3">
      <c r="A68"/>
      <c r="B68"/>
      <c r="N68" t="s">
        <v>63</v>
      </c>
      <c r="O68" s="21"/>
      <c r="P68" s="7"/>
    </row>
    <row r="69" spans="1:16" x14ac:dyDescent="0.3">
      <c r="A69"/>
      <c r="B69"/>
      <c r="N69" t="s">
        <v>64</v>
      </c>
      <c r="O69" s="21"/>
      <c r="P69" s="7"/>
    </row>
    <row r="70" spans="1:16" x14ac:dyDescent="0.3">
      <c r="C70" s="4"/>
      <c r="G70" s="4"/>
      <c r="H70" s="4"/>
      <c r="N70" t="s">
        <v>65</v>
      </c>
      <c r="O70" s="21"/>
      <c r="P70" s="7"/>
    </row>
    <row r="71" spans="1:16" x14ac:dyDescent="0.3">
      <c r="A71" s="3"/>
      <c r="B71"/>
      <c r="N71" t="s">
        <v>66</v>
      </c>
      <c r="O71" s="21"/>
      <c r="P71" s="7"/>
    </row>
    <row r="72" spans="1:16" x14ac:dyDescent="0.3">
      <c r="C72" s="4"/>
      <c r="D72" s="4"/>
      <c r="E72" s="4"/>
      <c r="F72" s="4"/>
      <c r="G72" s="4"/>
      <c r="H72" s="4"/>
      <c r="N72" t="s">
        <v>67</v>
      </c>
      <c r="O72" s="21"/>
      <c r="P72" s="7"/>
    </row>
    <row r="73" spans="1:16" x14ac:dyDescent="0.3">
      <c r="C73" s="4"/>
      <c r="D73" s="4"/>
      <c r="E73" s="4"/>
      <c r="F73" s="4"/>
      <c r="G73" s="4"/>
      <c r="H73" s="4"/>
      <c r="N73" t="s">
        <v>68</v>
      </c>
      <c r="O73" s="21"/>
      <c r="P73" s="7"/>
    </row>
    <row r="74" spans="1:16" x14ac:dyDescent="0.3">
      <c r="C74" s="4"/>
      <c r="D74" s="4"/>
      <c r="E74" s="4"/>
      <c r="F74" s="4"/>
      <c r="G74" s="4"/>
      <c r="H74" s="4"/>
      <c r="N74" t="s">
        <v>69</v>
      </c>
      <c r="O74" s="21"/>
      <c r="P74" s="7"/>
    </row>
    <row r="75" spans="1:16" x14ac:dyDescent="0.3">
      <c r="C75" s="4"/>
      <c r="D75" s="4"/>
      <c r="E75" s="4"/>
      <c r="F75" s="4"/>
      <c r="G75" s="4"/>
      <c r="H75" s="4"/>
      <c r="N75" t="s">
        <v>70</v>
      </c>
      <c r="O75" s="21"/>
      <c r="P75" s="7"/>
    </row>
    <row r="76" spans="1:16" x14ac:dyDescent="0.3">
      <c r="A76"/>
      <c r="B76"/>
      <c r="N76" t="s">
        <v>71</v>
      </c>
      <c r="O76" s="21"/>
      <c r="P76" s="7"/>
    </row>
    <row r="77" spans="1:16" x14ac:dyDescent="0.3">
      <c r="C77" s="4"/>
      <c r="D77" s="4"/>
      <c r="E77" s="4"/>
      <c r="F77" s="4"/>
      <c r="G77" s="4"/>
      <c r="H77" s="4"/>
      <c r="N77" t="s">
        <v>72</v>
      </c>
      <c r="O77" s="21"/>
      <c r="P77" s="7"/>
    </row>
    <row r="78" spans="1:16" x14ac:dyDescent="0.3">
      <c r="A78" s="6"/>
      <c r="B78"/>
      <c r="N78" t="s">
        <v>73</v>
      </c>
      <c r="O78" s="21"/>
      <c r="P78" s="7"/>
    </row>
    <row r="79" spans="1:16" x14ac:dyDescent="0.3">
      <c r="C79" s="4"/>
      <c r="D79" s="4"/>
      <c r="E79" s="4"/>
      <c r="F79" s="4"/>
      <c r="G79" s="4"/>
      <c r="H79" s="4"/>
      <c r="N79" t="s">
        <v>74</v>
      </c>
      <c r="O79" s="21"/>
      <c r="P79" s="7"/>
    </row>
    <row r="80" spans="1:16" x14ac:dyDescent="0.3">
      <c r="C80" s="4"/>
      <c r="D80" s="4"/>
      <c r="E80" s="4"/>
      <c r="F80" s="4"/>
      <c r="G80" s="4"/>
      <c r="H80" s="4"/>
      <c r="N80" t="s">
        <v>75</v>
      </c>
      <c r="O80" s="21"/>
      <c r="P80" s="7"/>
    </row>
    <row r="81" spans="1:16" x14ac:dyDescent="0.3">
      <c r="C81" s="4"/>
      <c r="D81" s="4"/>
      <c r="E81" s="4"/>
      <c r="F81" s="4"/>
      <c r="G81" s="4"/>
      <c r="H81" s="4"/>
      <c r="N81" t="s">
        <v>76</v>
      </c>
      <c r="O81" s="21"/>
      <c r="P81" s="7"/>
    </row>
    <row r="82" spans="1:16" x14ac:dyDescent="0.3">
      <c r="C82" s="4"/>
      <c r="D82" s="4"/>
      <c r="E82" s="4"/>
      <c r="F82" s="4"/>
      <c r="G82" s="4"/>
      <c r="H82" s="4"/>
      <c r="N82" t="s">
        <v>77</v>
      </c>
      <c r="O82" s="21"/>
      <c r="P82" s="7"/>
    </row>
    <row r="83" spans="1:16" x14ac:dyDescent="0.3">
      <c r="A83"/>
      <c r="B83"/>
      <c r="N83" t="s">
        <v>78</v>
      </c>
      <c r="O83" s="21"/>
      <c r="P83" s="7"/>
    </row>
    <row r="84" spans="1:16" x14ac:dyDescent="0.3">
      <c r="A84"/>
      <c r="B84"/>
      <c r="N84" t="s">
        <v>79</v>
      </c>
      <c r="O84" s="21"/>
      <c r="P84" s="7"/>
    </row>
    <row r="85" spans="1:16" x14ac:dyDescent="0.3">
      <c r="C85" s="4"/>
      <c r="D85" s="4"/>
      <c r="E85" s="4"/>
      <c r="F85" s="4"/>
      <c r="G85" s="4"/>
      <c r="H85" s="4"/>
      <c r="N85" t="s">
        <v>80</v>
      </c>
      <c r="O85" s="21"/>
      <c r="P85" s="7"/>
    </row>
    <row r="86" spans="1:16" x14ac:dyDescent="0.3">
      <c r="A86" s="3"/>
      <c r="B86" s="5"/>
      <c r="C86" s="4"/>
      <c r="D86" s="4"/>
      <c r="E86" s="4"/>
      <c r="F86" s="4"/>
      <c r="G86" s="4"/>
      <c r="H86" s="4"/>
      <c r="N86" t="s">
        <v>81</v>
      </c>
      <c r="O86" s="21"/>
      <c r="P86" s="7"/>
    </row>
    <row r="87" spans="1:16" x14ac:dyDescent="0.3">
      <c r="C87" s="4"/>
      <c r="D87" s="4"/>
      <c r="E87" s="4"/>
      <c r="F87" s="4"/>
      <c r="G87" s="4"/>
      <c r="H87" s="4"/>
      <c r="N87" t="s">
        <v>82</v>
      </c>
      <c r="O87" s="21"/>
      <c r="P87" s="7"/>
    </row>
    <row r="88" spans="1:16" x14ac:dyDescent="0.3">
      <c r="A88" s="3"/>
      <c r="B88" s="5"/>
      <c r="C88" s="4"/>
      <c r="D88" s="4"/>
      <c r="E88" s="4"/>
      <c r="F88" s="4"/>
      <c r="G88" s="4"/>
      <c r="H88" s="4"/>
      <c r="N88" t="s">
        <v>96</v>
      </c>
      <c r="O88" s="21"/>
      <c r="P88" s="7"/>
    </row>
    <row r="89" spans="1:16" x14ac:dyDescent="0.3">
      <c r="N89" t="s">
        <v>97</v>
      </c>
      <c r="O89" s="21"/>
      <c r="P89" s="7"/>
    </row>
    <row r="90" spans="1:16" x14ac:dyDescent="0.3">
      <c r="N90" t="s">
        <v>98</v>
      </c>
      <c r="O90" s="21"/>
      <c r="P90" s="7"/>
    </row>
    <row r="91" spans="1:16" x14ac:dyDescent="0.3">
      <c r="N91" t="s">
        <v>99</v>
      </c>
      <c r="O91" s="21"/>
      <c r="P91" s="7"/>
    </row>
    <row r="92" spans="1:16" x14ac:dyDescent="0.3">
      <c r="N92" t="s">
        <v>100</v>
      </c>
      <c r="O92" s="21"/>
      <c r="P92" s="7"/>
    </row>
    <row r="93" spans="1:16" x14ac:dyDescent="0.3">
      <c r="N93" t="s">
        <v>101</v>
      </c>
      <c r="O93" s="21"/>
      <c r="P93" s="7"/>
    </row>
    <row r="94" spans="1:16" x14ac:dyDescent="0.3">
      <c r="D94" s="21"/>
      <c r="E94" s="7"/>
      <c r="F94" s="7"/>
      <c r="G94" s="7"/>
      <c r="H94" s="7"/>
      <c r="N94" t="s">
        <v>102</v>
      </c>
      <c r="O94" s="21"/>
      <c r="P94" s="7"/>
    </row>
    <row r="95" spans="1:16" x14ac:dyDescent="0.3">
      <c r="D95" s="21"/>
      <c r="E95" s="7"/>
      <c r="F95" s="7"/>
      <c r="G95" s="7"/>
      <c r="H95" s="7"/>
      <c r="N95" t="s">
        <v>103</v>
      </c>
      <c r="O95" s="21"/>
      <c r="P95" s="7"/>
    </row>
    <row r="96" spans="1:16" x14ac:dyDescent="0.3">
      <c r="D96" s="21"/>
      <c r="E96" s="7"/>
      <c r="F96" s="7"/>
      <c r="G96" s="7"/>
      <c r="H96" s="7"/>
      <c r="N96" t="s">
        <v>104</v>
      </c>
      <c r="O96" s="21"/>
      <c r="P96" s="7"/>
    </row>
    <row r="97" spans="4:17" x14ac:dyDescent="0.3">
      <c r="D97" s="21"/>
      <c r="E97" s="7"/>
      <c r="F97" s="7"/>
      <c r="G97" s="7"/>
      <c r="H97" s="7"/>
      <c r="N97" t="s">
        <v>105</v>
      </c>
      <c r="O97" s="21"/>
      <c r="P97" s="7"/>
    </row>
    <row r="98" spans="4:17" x14ac:dyDescent="0.3">
      <c r="D98" s="21"/>
      <c r="E98" s="7"/>
      <c r="F98" s="7"/>
      <c r="G98" s="7"/>
      <c r="H98" s="7"/>
      <c r="N98" t="s">
        <v>106</v>
      </c>
      <c r="O98" s="21"/>
      <c r="P98" s="7"/>
    </row>
    <row r="99" spans="4:17" x14ac:dyDescent="0.3">
      <c r="D99" s="21"/>
      <c r="E99" s="7"/>
      <c r="F99" s="7"/>
      <c r="G99" s="7"/>
      <c r="H99" s="7"/>
      <c r="N99" t="s">
        <v>107</v>
      </c>
      <c r="O99" s="21"/>
      <c r="P99" s="7"/>
    </row>
    <row r="100" spans="4:17" x14ac:dyDescent="0.3">
      <c r="D100" s="21"/>
      <c r="E100" s="7"/>
      <c r="F100" s="7"/>
      <c r="G100" s="7"/>
      <c r="H100" s="7"/>
      <c r="N100" t="s">
        <v>108</v>
      </c>
      <c r="O100" s="21"/>
      <c r="P100" s="7"/>
    </row>
    <row r="101" spans="4:17" x14ac:dyDescent="0.3">
      <c r="D101" s="21"/>
      <c r="E101" s="7"/>
      <c r="F101" s="7"/>
      <c r="G101" s="7"/>
      <c r="H101" s="7"/>
      <c r="N101" s="7" t="s">
        <v>109</v>
      </c>
      <c r="O101" s="21"/>
      <c r="P101" s="7"/>
      <c r="Q101" s="21"/>
    </row>
    <row r="102" spans="4:17" x14ac:dyDescent="0.3">
      <c r="D102" s="21"/>
      <c r="E102" s="7"/>
      <c r="F102" s="7"/>
      <c r="G102" s="7"/>
      <c r="H102" s="7"/>
      <c r="N102" s="7" t="s">
        <v>110</v>
      </c>
      <c r="O102" s="21"/>
      <c r="P102" s="7"/>
      <c r="Q102" s="21"/>
    </row>
    <row r="103" spans="4:17" x14ac:dyDescent="0.3">
      <c r="D103" s="21"/>
      <c r="E103" s="7"/>
      <c r="F103" s="7"/>
      <c r="G103" s="7"/>
      <c r="H103" s="7"/>
      <c r="N103" s="7" t="s">
        <v>111</v>
      </c>
      <c r="O103" s="21"/>
      <c r="P103" s="7"/>
      <c r="Q103" s="21"/>
    </row>
    <row r="104" spans="4:17" x14ac:dyDescent="0.3">
      <c r="D104" s="21"/>
      <c r="E104" s="7"/>
      <c r="F104" s="7"/>
      <c r="G104" s="7"/>
      <c r="H104" s="7"/>
      <c r="N104" s="7" t="s">
        <v>112</v>
      </c>
      <c r="O104" s="21"/>
      <c r="P104" s="7"/>
      <c r="Q104" s="21"/>
    </row>
    <row r="105" spans="4:17" x14ac:dyDescent="0.3">
      <c r="D105" s="21"/>
      <c r="E105" s="7"/>
      <c r="F105" s="7"/>
      <c r="G105" s="7"/>
      <c r="H105" s="7"/>
      <c r="N105" s="7" t="s">
        <v>113</v>
      </c>
      <c r="O105" s="21"/>
      <c r="P105" s="7"/>
      <c r="Q105" s="21"/>
    </row>
    <row r="106" spans="4:17" x14ac:dyDescent="0.3">
      <c r="D106" s="21"/>
      <c r="E106" s="7"/>
      <c r="F106" s="7"/>
      <c r="G106" s="7"/>
      <c r="H106" s="7"/>
      <c r="N106" s="7" t="s">
        <v>114</v>
      </c>
      <c r="O106" s="21"/>
      <c r="P106" s="7"/>
      <c r="Q106" s="21"/>
    </row>
    <row r="107" spans="4:17" x14ac:dyDescent="0.3">
      <c r="D107" s="21"/>
      <c r="E107" s="7"/>
      <c r="F107" s="7"/>
      <c r="G107" s="7"/>
      <c r="H107" s="7"/>
      <c r="N107" s="7" t="s">
        <v>115</v>
      </c>
      <c r="O107" s="21"/>
      <c r="P107" s="7"/>
      <c r="Q107" s="21"/>
    </row>
    <row r="108" spans="4:17" x14ac:dyDescent="0.3">
      <c r="D108" s="21"/>
      <c r="E108" s="7"/>
      <c r="F108" s="7"/>
      <c r="G108" s="7"/>
      <c r="H108" s="7"/>
      <c r="N108" s="7" t="s">
        <v>116</v>
      </c>
      <c r="O108" s="21"/>
      <c r="P108" s="7"/>
      <c r="Q108" s="21"/>
    </row>
    <row r="109" spans="4:17" x14ac:dyDescent="0.3">
      <c r="D109" s="21"/>
      <c r="E109" s="7"/>
      <c r="F109" s="7"/>
      <c r="G109" s="7"/>
      <c r="H109" s="7"/>
      <c r="N109" s="7" t="s">
        <v>117</v>
      </c>
      <c r="O109" s="21"/>
      <c r="P109" s="7"/>
      <c r="Q109" s="21"/>
    </row>
    <row r="110" spans="4:17" x14ac:dyDescent="0.3">
      <c r="D110" s="21"/>
      <c r="E110" s="7"/>
      <c r="F110" s="7"/>
      <c r="G110" s="7"/>
      <c r="H110" s="7"/>
      <c r="N110" s="7" t="s">
        <v>118</v>
      </c>
      <c r="O110" s="21"/>
      <c r="P110" s="7"/>
      <c r="Q110" s="21"/>
    </row>
    <row r="111" spans="4:17" x14ac:dyDescent="0.3">
      <c r="D111" s="21"/>
      <c r="E111" s="7"/>
      <c r="F111" s="7"/>
      <c r="G111" s="7"/>
      <c r="H111" s="7"/>
      <c r="N111" s="7" t="s">
        <v>119</v>
      </c>
      <c r="O111" s="21"/>
      <c r="P111" s="7"/>
      <c r="Q111" s="21"/>
    </row>
    <row r="112" spans="4:17" x14ac:dyDescent="0.3">
      <c r="D112" s="21"/>
      <c r="E112" s="7"/>
      <c r="F112" s="7"/>
      <c r="G112" s="7"/>
      <c r="H112" s="7"/>
      <c r="N112" s="7" t="s">
        <v>120</v>
      </c>
      <c r="O112" s="21"/>
      <c r="P112" s="7"/>
      <c r="Q112" s="21"/>
    </row>
    <row r="113" spans="4:17" x14ac:dyDescent="0.3">
      <c r="D113" s="21"/>
      <c r="E113" s="7"/>
      <c r="F113" s="7"/>
      <c r="G113" s="7"/>
      <c r="H113" s="7"/>
      <c r="N113" s="7" t="s">
        <v>121</v>
      </c>
      <c r="O113" s="21"/>
      <c r="P113" s="7"/>
      <c r="Q113" s="21"/>
    </row>
    <row r="114" spans="4:17" x14ac:dyDescent="0.3">
      <c r="D114" s="21"/>
      <c r="E114" s="7"/>
      <c r="F114" s="7"/>
      <c r="G114" s="7"/>
      <c r="H114" s="7"/>
      <c r="N114" s="7" t="s">
        <v>122</v>
      </c>
      <c r="O114" s="21"/>
      <c r="P114" s="7"/>
      <c r="Q114" s="21"/>
    </row>
    <row r="115" spans="4:17" x14ac:dyDescent="0.3">
      <c r="D115" s="21"/>
      <c r="E115" s="7"/>
      <c r="F115" s="7"/>
      <c r="G115" s="7"/>
      <c r="H115" s="7"/>
      <c r="N115" s="7" t="s">
        <v>123</v>
      </c>
      <c r="O115" s="21"/>
      <c r="P115" s="7"/>
      <c r="Q115" s="21"/>
    </row>
    <row r="116" spans="4:17" x14ac:dyDescent="0.3">
      <c r="D116" s="21"/>
      <c r="E116" s="7"/>
      <c r="F116" s="7"/>
      <c r="G116" s="7"/>
      <c r="H116" s="7"/>
      <c r="N116" s="7" t="s">
        <v>124</v>
      </c>
      <c r="O116" s="21"/>
      <c r="P116" s="7"/>
      <c r="Q116" s="21"/>
    </row>
    <row r="117" spans="4:17" x14ac:dyDescent="0.3">
      <c r="D117" s="21"/>
      <c r="E117" s="7"/>
      <c r="F117" s="7"/>
      <c r="G117" s="7"/>
      <c r="H117" s="7"/>
      <c r="N117" s="7" t="s">
        <v>125</v>
      </c>
      <c r="O117" s="21"/>
      <c r="P117" s="7"/>
      <c r="Q117" s="21"/>
    </row>
    <row r="118" spans="4:17" x14ac:dyDescent="0.3">
      <c r="D118" s="21"/>
      <c r="E118" s="7"/>
      <c r="F118" s="7"/>
      <c r="G118" s="7"/>
      <c r="H118" s="7"/>
      <c r="N118" s="7" t="s">
        <v>126</v>
      </c>
      <c r="O118" s="21"/>
      <c r="P118" s="7"/>
      <c r="Q118" s="21"/>
    </row>
    <row r="119" spans="4:17" x14ac:dyDescent="0.3">
      <c r="D119" s="21"/>
      <c r="E119" s="7"/>
      <c r="F119" s="7"/>
      <c r="G119" s="7"/>
      <c r="H119" s="7"/>
      <c r="N119" s="7" t="s">
        <v>127</v>
      </c>
      <c r="O119" s="21"/>
      <c r="P119" s="7"/>
      <c r="Q119" s="21"/>
    </row>
    <row r="120" spans="4:17" x14ac:dyDescent="0.3">
      <c r="D120" s="21"/>
      <c r="E120" s="7"/>
      <c r="F120" s="7"/>
      <c r="G120" s="7"/>
      <c r="H120" s="7"/>
      <c r="N120" s="7" t="s">
        <v>128</v>
      </c>
      <c r="O120" s="21"/>
      <c r="P120" s="7"/>
      <c r="Q120" s="21"/>
    </row>
    <row r="121" spans="4:17" x14ac:dyDescent="0.3">
      <c r="D121" s="21"/>
      <c r="E121" s="7"/>
      <c r="F121" s="7"/>
      <c r="G121" s="7"/>
      <c r="H121" s="7"/>
      <c r="N121" s="7" t="s">
        <v>129</v>
      </c>
      <c r="O121" s="21"/>
      <c r="P121" s="7"/>
      <c r="Q121" s="21"/>
    </row>
    <row r="122" spans="4:17" x14ac:dyDescent="0.3">
      <c r="D122" s="21"/>
      <c r="E122" s="7"/>
      <c r="F122" s="7"/>
      <c r="G122" s="7"/>
      <c r="H122" s="7"/>
      <c r="N122" s="7" t="s">
        <v>130</v>
      </c>
      <c r="O122" s="21"/>
      <c r="P122" s="7"/>
      <c r="Q122" s="21"/>
    </row>
    <row r="123" spans="4:17" x14ac:dyDescent="0.3">
      <c r="D123" s="21"/>
      <c r="E123" s="7"/>
      <c r="F123" s="7"/>
      <c r="G123" s="7"/>
      <c r="H123" s="7"/>
      <c r="N123" s="7" t="s">
        <v>131</v>
      </c>
      <c r="O123" s="21"/>
      <c r="P123" s="7"/>
      <c r="Q123" s="21"/>
    </row>
    <row r="124" spans="4:17" x14ac:dyDescent="0.3">
      <c r="D124" s="21"/>
      <c r="E124" s="7"/>
      <c r="F124" s="7"/>
      <c r="G124" s="7"/>
      <c r="H124" s="7"/>
      <c r="N124" s="7" t="s">
        <v>132</v>
      </c>
      <c r="O124" s="21"/>
      <c r="P124" s="7"/>
      <c r="Q124" s="21"/>
    </row>
    <row r="125" spans="4:17" x14ac:dyDescent="0.3">
      <c r="D125" s="21"/>
      <c r="E125" s="7"/>
      <c r="F125" s="7"/>
      <c r="G125" s="7"/>
      <c r="H125" s="7"/>
      <c r="N125" s="7" t="s">
        <v>133</v>
      </c>
      <c r="O125" s="21"/>
      <c r="P125" s="7"/>
      <c r="Q125" s="21"/>
    </row>
    <row r="126" spans="4:17" x14ac:dyDescent="0.3">
      <c r="D126" s="21"/>
      <c r="E126" s="7"/>
      <c r="F126" s="7"/>
      <c r="G126" s="7"/>
      <c r="H126" s="7"/>
      <c r="N126" s="7" t="s">
        <v>134</v>
      </c>
      <c r="O126" s="21"/>
      <c r="P126" s="7"/>
      <c r="Q126" s="21"/>
    </row>
    <row r="127" spans="4:17" x14ac:dyDescent="0.3">
      <c r="D127" s="21"/>
      <c r="E127" s="7"/>
      <c r="F127" s="7"/>
      <c r="G127" s="7"/>
      <c r="H127" s="7"/>
      <c r="N127" s="7" t="s">
        <v>135</v>
      </c>
      <c r="O127" s="21"/>
      <c r="P127" s="7"/>
      <c r="Q127" s="21"/>
    </row>
    <row r="128" spans="4:17" x14ac:dyDescent="0.3">
      <c r="D128" s="21"/>
      <c r="E128" s="7"/>
      <c r="F128" s="7"/>
      <c r="G128" s="7"/>
      <c r="H128" s="7"/>
      <c r="N128" s="7" t="s">
        <v>136</v>
      </c>
      <c r="O128" s="21"/>
      <c r="P128" s="7"/>
      <c r="Q128" s="21"/>
    </row>
    <row r="129" spans="4:17" x14ac:dyDescent="0.3">
      <c r="D129" s="21"/>
      <c r="E129" s="7"/>
      <c r="F129" s="7"/>
      <c r="G129" s="7"/>
      <c r="H129" s="7"/>
      <c r="N129" s="7" t="s">
        <v>137</v>
      </c>
      <c r="O129" s="21"/>
      <c r="P129" s="7"/>
      <c r="Q129" s="21"/>
    </row>
    <row r="130" spans="4:17" x14ac:dyDescent="0.3">
      <c r="D130" s="21"/>
      <c r="E130" s="7"/>
      <c r="F130" s="7"/>
      <c r="G130" s="7"/>
      <c r="H130" s="7"/>
      <c r="N130" s="7" t="s">
        <v>138</v>
      </c>
      <c r="O130" s="21"/>
      <c r="P130" s="7"/>
      <c r="Q130" s="21"/>
    </row>
    <row r="131" spans="4:17" x14ac:dyDescent="0.3">
      <c r="D131" s="21"/>
      <c r="E131" s="7"/>
      <c r="F131" s="7"/>
      <c r="G131" s="7"/>
      <c r="H131" s="7"/>
      <c r="N131" s="7" t="s">
        <v>139</v>
      </c>
      <c r="O131" s="21"/>
      <c r="P131" s="7"/>
      <c r="Q131" s="21"/>
    </row>
    <row r="132" spans="4:17" x14ac:dyDescent="0.3">
      <c r="D132" s="21"/>
      <c r="E132" s="7"/>
      <c r="F132" s="7"/>
      <c r="G132" s="7"/>
      <c r="H132" s="7"/>
      <c r="N132" s="7" t="s">
        <v>140</v>
      </c>
      <c r="O132" s="21"/>
      <c r="P132" s="7"/>
      <c r="Q132" s="21"/>
    </row>
    <row r="133" spans="4:17" x14ac:dyDescent="0.3">
      <c r="D133" s="21"/>
      <c r="E133" s="7"/>
      <c r="F133" s="7"/>
      <c r="G133" s="7"/>
      <c r="H133" s="7"/>
      <c r="N133" s="7" t="s">
        <v>141</v>
      </c>
      <c r="O133" s="21"/>
      <c r="P133" s="7"/>
      <c r="Q133" s="21"/>
    </row>
    <row r="134" spans="4:17" x14ac:dyDescent="0.3">
      <c r="D134" s="21"/>
      <c r="E134" s="7"/>
      <c r="F134" s="7"/>
      <c r="G134" s="7"/>
      <c r="H134" s="7"/>
      <c r="N134" s="7" t="s">
        <v>142</v>
      </c>
      <c r="O134" s="21"/>
      <c r="P134" s="7"/>
      <c r="Q134" s="21"/>
    </row>
    <row r="135" spans="4:17" x14ac:dyDescent="0.3">
      <c r="D135" s="21"/>
      <c r="E135" s="7"/>
      <c r="F135" s="7"/>
      <c r="G135" s="7"/>
      <c r="H135" s="7"/>
      <c r="N135" s="7" t="s">
        <v>143</v>
      </c>
      <c r="O135" s="21"/>
      <c r="P135" s="7"/>
      <c r="Q135" s="21"/>
    </row>
    <row r="136" spans="4:17" x14ac:dyDescent="0.3">
      <c r="D136" s="21"/>
      <c r="E136" s="7"/>
      <c r="F136" s="7"/>
      <c r="G136" s="7"/>
      <c r="H136" s="7"/>
      <c r="N136" s="7" t="s">
        <v>144</v>
      </c>
      <c r="O136" s="21"/>
      <c r="P136" s="7"/>
      <c r="Q136" s="21"/>
    </row>
    <row r="137" spans="4:17" x14ac:dyDescent="0.3">
      <c r="D137" s="21"/>
      <c r="E137" s="7"/>
      <c r="F137" s="7"/>
      <c r="G137" s="7"/>
      <c r="H137" s="7"/>
      <c r="N137" s="7" t="s">
        <v>145</v>
      </c>
      <c r="O137" s="21"/>
      <c r="P137" s="7"/>
      <c r="Q137" s="21"/>
    </row>
    <row r="138" spans="4:17" x14ac:dyDescent="0.3">
      <c r="D138" s="21"/>
      <c r="E138" s="7"/>
      <c r="F138" s="7"/>
      <c r="G138" s="7"/>
      <c r="H138" s="7"/>
      <c r="N138" s="7" t="s">
        <v>146</v>
      </c>
      <c r="O138" s="21"/>
      <c r="P138" s="7"/>
      <c r="Q138" s="21"/>
    </row>
    <row r="139" spans="4:17" x14ac:dyDescent="0.3">
      <c r="D139" s="21"/>
      <c r="E139" s="7"/>
      <c r="F139" s="7"/>
      <c r="G139" s="7"/>
      <c r="H139" s="7"/>
      <c r="N139" s="7" t="s">
        <v>147</v>
      </c>
      <c r="O139" s="21"/>
      <c r="P139" s="7"/>
      <c r="Q139" s="21"/>
    </row>
    <row r="140" spans="4:17" x14ac:dyDescent="0.3">
      <c r="D140" s="21"/>
      <c r="E140" s="7"/>
      <c r="F140" s="7"/>
      <c r="G140" s="7"/>
      <c r="H140" s="7"/>
      <c r="N140" s="7" t="s">
        <v>148</v>
      </c>
      <c r="O140" s="21"/>
      <c r="P140" s="7"/>
      <c r="Q140" s="21"/>
    </row>
    <row r="141" spans="4:17" x14ac:dyDescent="0.3">
      <c r="D141" s="21"/>
      <c r="E141" s="7"/>
      <c r="F141" s="7"/>
      <c r="G141" s="7"/>
      <c r="H141" s="7"/>
      <c r="N141" s="7" t="s">
        <v>149</v>
      </c>
      <c r="O141" s="21"/>
      <c r="P141" s="7"/>
      <c r="Q141" s="21"/>
    </row>
    <row r="142" spans="4:17" x14ac:dyDescent="0.3">
      <c r="D142" s="21"/>
      <c r="E142" s="7"/>
      <c r="F142" s="7"/>
      <c r="G142" s="7"/>
      <c r="H142" s="7"/>
      <c r="N142" s="7" t="s">
        <v>150</v>
      </c>
      <c r="O142" s="21"/>
      <c r="P142" s="7"/>
      <c r="Q142" s="21"/>
    </row>
    <row r="143" spans="4:17" x14ac:dyDescent="0.3">
      <c r="D143" s="21"/>
      <c r="E143" s="7"/>
      <c r="F143" s="7"/>
      <c r="G143" s="7"/>
      <c r="H143" s="7"/>
      <c r="N143" s="7" t="s">
        <v>151</v>
      </c>
      <c r="O143" s="21"/>
      <c r="P143" s="7"/>
      <c r="Q143" s="21"/>
    </row>
    <row r="144" spans="4:17" x14ac:dyDescent="0.3">
      <c r="D144" s="21"/>
      <c r="E144" s="7"/>
      <c r="F144" s="7"/>
      <c r="G144" s="7"/>
      <c r="H144" s="7"/>
      <c r="N144" s="7" t="s">
        <v>152</v>
      </c>
      <c r="O144" s="21"/>
      <c r="P144" s="7"/>
      <c r="Q144" s="21"/>
    </row>
    <row r="145" spans="4:17" x14ac:dyDescent="0.3">
      <c r="D145" s="21"/>
      <c r="E145" s="7"/>
      <c r="F145" s="7"/>
      <c r="G145" s="7"/>
      <c r="H145" s="7"/>
      <c r="N145" s="7" t="s">
        <v>153</v>
      </c>
      <c r="O145" s="21"/>
      <c r="P145" s="7"/>
      <c r="Q145" s="21"/>
    </row>
    <row r="146" spans="4:17" x14ac:dyDescent="0.3">
      <c r="D146" s="21"/>
      <c r="E146" s="7"/>
      <c r="F146" s="7"/>
      <c r="G146" s="7"/>
      <c r="H146" s="7"/>
      <c r="N146" s="7" t="s">
        <v>154</v>
      </c>
      <c r="O146" s="21"/>
      <c r="P146" s="7"/>
      <c r="Q146" s="21"/>
    </row>
    <row r="147" spans="4:17" x14ac:dyDescent="0.3">
      <c r="D147" s="21"/>
      <c r="E147" s="7"/>
      <c r="F147" s="7"/>
      <c r="G147" s="7"/>
      <c r="H147" s="7"/>
      <c r="N147" s="7" t="s">
        <v>155</v>
      </c>
      <c r="O147" s="21"/>
      <c r="P147" s="7"/>
      <c r="Q147" s="21"/>
    </row>
    <row r="148" spans="4:17" x14ac:dyDescent="0.3">
      <c r="D148" s="21"/>
      <c r="E148" s="7"/>
      <c r="F148" s="7"/>
      <c r="G148" s="7"/>
      <c r="H148" s="7"/>
      <c r="N148" s="7" t="s">
        <v>156</v>
      </c>
      <c r="O148" s="21"/>
      <c r="P148" s="7"/>
      <c r="Q148" s="21"/>
    </row>
    <row r="149" spans="4:17" x14ac:dyDescent="0.3">
      <c r="D149" s="21"/>
      <c r="E149" s="7"/>
      <c r="F149" s="7"/>
      <c r="G149" s="7"/>
      <c r="H149" s="7"/>
      <c r="N149" s="7" t="s">
        <v>157</v>
      </c>
      <c r="O149" s="21"/>
      <c r="P149" s="7"/>
      <c r="Q149" s="21"/>
    </row>
    <row r="150" spans="4:17" x14ac:dyDescent="0.3">
      <c r="D150" s="21"/>
      <c r="E150" s="7"/>
      <c r="F150" s="7"/>
      <c r="G150" s="7"/>
      <c r="H150" s="7"/>
      <c r="N150" s="7" t="s">
        <v>158</v>
      </c>
      <c r="O150" s="21"/>
      <c r="P150" s="7"/>
      <c r="Q150" s="21"/>
    </row>
    <row r="151" spans="4:17" x14ac:dyDescent="0.3">
      <c r="D151" s="21"/>
      <c r="E151" s="7"/>
      <c r="F151" s="7"/>
      <c r="G151" s="7"/>
      <c r="H151" s="7"/>
      <c r="N151" s="7" t="s">
        <v>159</v>
      </c>
      <c r="O151" s="21"/>
      <c r="P151" s="7"/>
      <c r="Q151" s="21"/>
    </row>
    <row r="152" spans="4:17" x14ac:dyDescent="0.3">
      <c r="D152" s="21"/>
      <c r="E152" s="7"/>
      <c r="F152" s="7"/>
      <c r="G152" s="7"/>
      <c r="H152" s="7"/>
      <c r="N152" s="7" t="s">
        <v>160</v>
      </c>
      <c r="O152" s="21"/>
      <c r="P152" s="7"/>
      <c r="Q152" s="21"/>
    </row>
    <row r="153" spans="4:17" x14ac:dyDescent="0.3">
      <c r="D153" s="21"/>
      <c r="E153" s="7"/>
      <c r="F153" s="7"/>
      <c r="G153" s="7"/>
      <c r="H153" s="7"/>
      <c r="N153" s="7" t="s">
        <v>161</v>
      </c>
      <c r="O153" s="21"/>
      <c r="P153" s="7"/>
      <c r="Q153" s="21"/>
    </row>
    <row r="154" spans="4:17" x14ac:dyDescent="0.3">
      <c r="D154" s="21"/>
      <c r="E154" s="7"/>
      <c r="F154" s="7"/>
      <c r="G154" s="7"/>
      <c r="H154" s="7"/>
      <c r="N154" s="7" t="s">
        <v>162</v>
      </c>
      <c r="O154" s="21"/>
      <c r="P154" s="7"/>
      <c r="Q154" s="21"/>
    </row>
    <row r="155" spans="4:17" x14ac:dyDescent="0.3">
      <c r="D155" s="21"/>
      <c r="E155" s="7"/>
      <c r="F155" s="7"/>
      <c r="G155" s="7"/>
      <c r="H155" s="7"/>
      <c r="N155" s="7" t="s">
        <v>163</v>
      </c>
      <c r="O155" s="21"/>
      <c r="P155" s="7"/>
      <c r="Q155" s="21"/>
    </row>
    <row r="156" spans="4:17" x14ac:dyDescent="0.3">
      <c r="D156" s="21"/>
      <c r="E156" s="7"/>
      <c r="F156" s="7"/>
      <c r="G156" s="7"/>
      <c r="H156" s="7"/>
      <c r="N156" s="7" t="s">
        <v>164</v>
      </c>
      <c r="O156" s="21"/>
      <c r="P156" s="7"/>
      <c r="Q156" s="21"/>
    </row>
    <row r="157" spans="4:17" x14ac:dyDescent="0.3">
      <c r="D157" s="21"/>
      <c r="E157" s="7"/>
      <c r="F157" s="7"/>
      <c r="G157" s="7"/>
      <c r="H157" s="7"/>
      <c r="N157" s="7" t="s">
        <v>165</v>
      </c>
      <c r="O157" s="21"/>
      <c r="P157" s="7"/>
      <c r="Q157" s="21"/>
    </row>
    <row r="158" spans="4:17" x14ac:dyDescent="0.3">
      <c r="D158" s="21"/>
      <c r="E158" s="7"/>
      <c r="F158" s="7"/>
      <c r="G158" s="7"/>
      <c r="H158" s="7"/>
      <c r="N158" s="7" t="s">
        <v>166</v>
      </c>
      <c r="O158" s="21"/>
      <c r="P158" s="7"/>
      <c r="Q158" s="21"/>
    </row>
    <row r="159" spans="4:17" x14ac:dyDescent="0.3">
      <c r="D159" s="21"/>
      <c r="E159" s="7"/>
      <c r="F159" s="7"/>
      <c r="G159" s="7"/>
      <c r="H159" s="7"/>
      <c r="N159" s="7" t="s">
        <v>167</v>
      </c>
      <c r="O159" s="21"/>
      <c r="P159" s="7"/>
      <c r="Q159" s="21"/>
    </row>
    <row r="160" spans="4:17" x14ac:dyDescent="0.3">
      <c r="D160" s="21"/>
      <c r="E160" s="7"/>
      <c r="F160" s="7"/>
      <c r="G160" s="7"/>
      <c r="H160" s="7"/>
      <c r="N160" s="7" t="s">
        <v>168</v>
      </c>
      <c r="O160" s="21"/>
      <c r="P160" s="7"/>
      <c r="Q160" s="21"/>
    </row>
    <row r="161" spans="4:17" x14ac:dyDescent="0.3">
      <c r="D161" s="21"/>
      <c r="E161" s="7"/>
      <c r="F161" s="7"/>
      <c r="G161" s="7"/>
      <c r="H161" s="7"/>
      <c r="N161" s="7" t="s">
        <v>169</v>
      </c>
      <c r="O161" s="21"/>
      <c r="P161" s="7"/>
      <c r="Q161" s="21"/>
    </row>
    <row r="162" spans="4:17" x14ac:dyDescent="0.3">
      <c r="D162" s="21"/>
      <c r="E162" s="7"/>
      <c r="F162" s="7"/>
      <c r="G162" s="7"/>
      <c r="H162" s="7"/>
      <c r="N162" s="7" t="s">
        <v>170</v>
      </c>
      <c r="O162" s="21"/>
      <c r="P162" s="7"/>
      <c r="Q162" s="21"/>
    </row>
    <row r="163" spans="4:17" x14ac:dyDescent="0.3">
      <c r="D163" s="21"/>
      <c r="E163" s="7"/>
      <c r="F163" s="7"/>
      <c r="G163" s="7"/>
      <c r="H163" s="7"/>
      <c r="N163" s="7" t="s">
        <v>171</v>
      </c>
      <c r="O163" s="21"/>
      <c r="P163" s="7"/>
      <c r="Q163" s="21"/>
    </row>
    <row r="164" spans="4:17" x14ac:dyDescent="0.3">
      <c r="D164" s="21"/>
      <c r="E164" s="7"/>
      <c r="F164" s="7"/>
      <c r="G164" s="7"/>
      <c r="H164" s="7"/>
      <c r="N164" s="7" t="s">
        <v>172</v>
      </c>
      <c r="O164" s="21"/>
      <c r="P164" s="7"/>
      <c r="Q164" s="21"/>
    </row>
    <row r="165" spans="4:17" x14ac:dyDescent="0.3">
      <c r="D165" s="21"/>
      <c r="E165" s="7"/>
      <c r="F165" s="7"/>
      <c r="G165" s="7"/>
      <c r="H165" s="7"/>
      <c r="N165" s="7" t="s">
        <v>173</v>
      </c>
      <c r="O165" s="21"/>
      <c r="P165" s="7"/>
      <c r="Q165" s="21"/>
    </row>
    <row r="166" spans="4:17" x14ac:dyDescent="0.3">
      <c r="D166" s="21"/>
      <c r="E166" s="7"/>
      <c r="F166" s="7"/>
      <c r="G166" s="7"/>
      <c r="H166" s="7"/>
      <c r="N166" s="7" t="s">
        <v>174</v>
      </c>
      <c r="O166" s="21"/>
      <c r="P166" s="7"/>
      <c r="Q166" s="21"/>
    </row>
    <row r="167" spans="4:17" x14ac:dyDescent="0.3">
      <c r="D167" s="21"/>
      <c r="E167" s="7"/>
      <c r="F167" s="7"/>
      <c r="G167" s="7"/>
      <c r="H167" s="7"/>
      <c r="N167" s="7" t="s">
        <v>175</v>
      </c>
      <c r="O167" s="21"/>
      <c r="P167" s="7"/>
      <c r="Q167" s="21"/>
    </row>
    <row r="168" spans="4:17" x14ac:dyDescent="0.3">
      <c r="D168" s="21"/>
      <c r="E168" s="7"/>
      <c r="F168" s="7"/>
      <c r="G168" s="7"/>
      <c r="H168" s="7"/>
      <c r="N168" s="7" t="s">
        <v>176</v>
      </c>
      <c r="O168" s="21"/>
      <c r="P168" s="7"/>
      <c r="Q168" s="21"/>
    </row>
    <row r="169" spans="4:17" x14ac:dyDescent="0.3">
      <c r="D169" s="21"/>
      <c r="E169" s="7"/>
      <c r="F169" s="7"/>
      <c r="G169" s="7"/>
      <c r="H169" s="7"/>
      <c r="N169" s="7" t="s">
        <v>177</v>
      </c>
      <c r="O169" s="21"/>
      <c r="P169" s="7"/>
      <c r="Q169" s="21"/>
    </row>
    <row r="170" spans="4:17" x14ac:dyDescent="0.3">
      <c r="D170" s="21"/>
      <c r="E170" s="7"/>
      <c r="F170" s="7"/>
      <c r="G170" s="7"/>
      <c r="H170" s="7"/>
      <c r="N170" s="7" t="s">
        <v>178</v>
      </c>
      <c r="O170" s="21"/>
      <c r="P170" s="7"/>
      <c r="Q170" s="21"/>
    </row>
    <row r="171" spans="4:17" x14ac:dyDescent="0.3">
      <c r="D171" s="21"/>
      <c r="E171" s="7"/>
      <c r="F171" s="7"/>
      <c r="G171" s="7"/>
      <c r="H171" s="7"/>
      <c r="N171" s="7" t="s">
        <v>179</v>
      </c>
      <c r="O171" s="21"/>
      <c r="P171" s="7"/>
      <c r="Q171" s="21"/>
    </row>
    <row r="172" spans="4:17" x14ac:dyDescent="0.3">
      <c r="D172" s="21"/>
      <c r="E172" s="7"/>
      <c r="F172" s="7"/>
      <c r="G172" s="7"/>
      <c r="H172" s="7"/>
      <c r="N172" s="7" t="s">
        <v>180</v>
      </c>
      <c r="O172" s="21"/>
      <c r="P172" s="7"/>
      <c r="Q172" s="21"/>
    </row>
    <row r="173" spans="4:17" x14ac:dyDescent="0.3">
      <c r="D173" s="21"/>
      <c r="E173" s="7"/>
      <c r="F173" s="7"/>
      <c r="G173" s="7"/>
      <c r="H173" s="7"/>
      <c r="N173" s="7" t="s">
        <v>181</v>
      </c>
      <c r="O173" s="21"/>
      <c r="P173" s="7"/>
      <c r="Q173" s="21"/>
    </row>
    <row r="174" spans="4:17" x14ac:dyDescent="0.3">
      <c r="D174" s="21"/>
      <c r="E174" s="7"/>
      <c r="F174" s="7"/>
      <c r="G174" s="7"/>
      <c r="H174" s="7"/>
      <c r="N174" s="7" t="s">
        <v>182</v>
      </c>
      <c r="O174" s="21"/>
      <c r="P174" s="7"/>
      <c r="Q174" s="21"/>
    </row>
    <row r="175" spans="4:17" x14ac:dyDescent="0.3">
      <c r="D175" s="21"/>
      <c r="E175" s="7"/>
      <c r="F175" s="7"/>
      <c r="G175" s="7"/>
      <c r="H175" s="7"/>
      <c r="N175" s="7" t="s">
        <v>183</v>
      </c>
      <c r="O175" s="21"/>
      <c r="P175" s="7"/>
      <c r="Q175" s="21"/>
    </row>
    <row r="176" spans="4:17" x14ac:dyDescent="0.3">
      <c r="D176" s="21"/>
      <c r="E176" s="7"/>
      <c r="F176" s="7"/>
      <c r="G176" s="7"/>
      <c r="H176" s="7"/>
      <c r="N176" s="7" t="s">
        <v>184</v>
      </c>
      <c r="O176" s="21"/>
      <c r="P176" s="7"/>
      <c r="Q176" s="21"/>
    </row>
    <row r="177" spans="4:17" x14ac:dyDescent="0.3">
      <c r="D177" s="21"/>
      <c r="E177" s="7"/>
      <c r="F177" s="7"/>
      <c r="G177" s="7"/>
      <c r="H177" s="7"/>
      <c r="N177" s="7" t="s">
        <v>185</v>
      </c>
      <c r="O177" s="21"/>
      <c r="P177" s="7"/>
      <c r="Q177" s="21"/>
    </row>
    <row r="178" spans="4:17" x14ac:dyDescent="0.3">
      <c r="D178" s="21"/>
      <c r="E178" s="7"/>
      <c r="F178" s="7"/>
      <c r="G178" s="7"/>
      <c r="H178" s="7"/>
      <c r="N178" s="7" t="s">
        <v>186</v>
      </c>
      <c r="O178" s="21"/>
      <c r="P178" s="7"/>
      <c r="Q178" s="21"/>
    </row>
    <row r="179" spans="4:17" x14ac:dyDescent="0.3">
      <c r="D179" s="21"/>
      <c r="E179" s="7"/>
      <c r="F179" s="7"/>
      <c r="G179" s="7"/>
      <c r="H179" s="7"/>
      <c r="N179" s="7" t="s">
        <v>187</v>
      </c>
      <c r="O179" s="21"/>
      <c r="P179" s="7"/>
      <c r="Q179" s="21"/>
    </row>
    <row r="180" spans="4:17" x14ac:dyDescent="0.3">
      <c r="D180" s="21"/>
      <c r="E180" s="7"/>
      <c r="F180" s="7"/>
      <c r="G180" s="7"/>
      <c r="H180" s="7"/>
      <c r="N180" s="7" t="s">
        <v>188</v>
      </c>
      <c r="O180" s="21"/>
      <c r="P180" s="7"/>
      <c r="Q180" s="21"/>
    </row>
    <row r="181" spans="4:17" x14ac:dyDescent="0.3">
      <c r="D181" s="21"/>
      <c r="E181" s="7"/>
      <c r="F181" s="7"/>
      <c r="G181" s="7"/>
      <c r="H181" s="7"/>
      <c r="N181" s="7" t="s">
        <v>189</v>
      </c>
      <c r="O181" s="21"/>
      <c r="P181" s="7"/>
      <c r="Q181" s="21"/>
    </row>
    <row r="182" spans="4:17" x14ac:dyDescent="0.3">
      <c r="D182" s="21"/>
      <c r="E182" s="7"/>
      <c r="F182" s="7"/>
      <c r="G182" s="7"/>
      <c r="H182" s="7"/>
      <c r="N182" s="7" t="s">
        <v>190</v>
      </c>
      <c r="O182" s="21"/>
      <c r="P182" s="7"/>
      <c r="Q182" s="21"/>
    </row>
    <row r="183" spans="4:17" x14ac:dyDescent="0.3">
      <c r="D183" s="21"/>
      <c r="E183" s="7"/>
      <c r="F183" s="7"/>
      <c r="G183" s="7"/>
      <c r="H183" s="7"/>
      <c r="N183" s="7" t="s">
        <v>191</v>
      </c>
      <c r="O183" s="21"/>
      <c r="P183" s="7"/>
      <c r="Q183" s="21"/>
    </row>
    <row r="184" spans="4:17" x14ac:dyDescent="0.3">
      <c r="D184" s="21"/>
      <c r="E184" s="7"/>
      <c r="F184" s="7"/>
      <c r="G184" s="7"/>
      <c r="H184" s="7"/>
      <c r="N184" s="7" t="s">
        <v>192</v>
      </c>
      <c r="O184" s="21"/>
      <c r="P184" s="7"/>
      <c r="Q184" s="21"/>
    </row>
    <row r="185" spans="4:17" x14ac:dyDescent="0.3">
      <c r="D185" s="21"/>
      <c r="E185" s="7"/>
      <c r="F185" s="7"/>
      <c r="G185" s="7"/>
      <c r="H185" s="7"/>
      <c r="N185" s="7" t="s">
        <v>193</v>
      </c>
      <c r="O185" s="21"/>
      <c r="P185" s="7"/>
      <c r="Q185" s="21"/>
    </row>
    <row r="186" spans="4:17" x14ac:dyDescent="0.3">
      <c r="D186" s="21"/>
      <c r="E186" s="7"/>
      <c r="F186" s="7"/>
      <c r="G186" s="7"/>
      <c r="H186" s="7"/>
      <c r="N186" s="7" t="s">
        <v>194</v>
      </c>
      <c r="O186" s="21"/>
      <c r="P186" s="7"/>
      <c r="Q186" s="21"/>
    </row>
    <row r="187" spans="4:17" x14ac:dyDescent="0.3">
      <c r="D187" s="21"/>
      <c r="E187" s="7"/>
      <c r="F187" s="7"/>
      <c r="G187" s="7"/>
      <c r="H187" s="7"/>
      <c r="N187" s="7" t="s">
        <v>195</v>
      </c>
      <c r="O187" s="21"/>
      <c r="P187" s="7"/>
      <c r="Q187" s="21"/>
    </row>
    <row r="188" spans="4:17" x14ac:dyDescent="0.3">
      <c r="D188" s="21"/>
      <c r="E188" s="7"/>
      <c r="F188" s="7"/>
      <c r="G188" s="7"/>
      <c r="H188" s="7"/>
      <c r="N188" s="7" t="s">
        <v>196</v>
      </c>
      <c r="O188" s="21"/>
      <c r="P188" s="7"/>
      <c r="Q188" s="21"/>
    </row>
    <row r="189" spans="4:17" x14ac:dyDescent="0.3">
      <c r="N189" s="7" t="s">
        <v>197</v>
      </c>
      <c r="O189" s="21"/>
      <c r="P189" s="7"/>
      <c r="Q189" s="21"/>
    </row>
    <row r="190" spans="4:17" x14ac:dyDescent="0.3">
      <c r="N190" s="7" t="s">
        <v>198</v>
      </c>
      <c r="O190" s="21"/>
      <c r="P190" s="7"/>
      <c r="Q190" s="21"/>
    </row>
    <row r="191" spans="4:17" x14ac:dyDescent="0.3">
      <c r="N191" s="7" t="s">
        <v>199</v>
      </c>
      <c r="O191" s="21"/>
      <c r="P191" s="7"/>
      <c r="Q191" s="21"/>
    </row>
    <row r="192" spans="4:17" x14ac:dyDescent="0.3">
      <c r="N192" s="7" t="s">
        <v>200</v>
      </c>
      <c r="O192" s="21"/>
      <c r="P192" s="7"/>
      <c r="Q192" s="21"/>
    </row>
    <row r="193" spans="14:17" x14ac:dyDescent="0.3">
      <c r="N193" s="7" t="s">
        <v>201</v>
      </c>
      <c r="O193" s="21"/>
      <c r="P193" s="7"/>
      <c r="Q193" s="21"/>
    </row>
    <row r="194" spans="14:17" x14ac:dyDescent="0.3">
      <c r="N194" s="7" t="s">
        <v>202</v>
      </c>
      <c r="O194" s="21"/>
      <c r="P194" s="7"/>
      <c r="Q194" s="21"/>
    </row>
    <row r="195" spans="14:17" x14ac:dyDescent="0.3">
      <c r="N195" s="7" t="s">
        <v>203</v>
      </c>
      <c r="O195" s="21"/>
      <c r="P195" s="7"/>
      <c r="Q195" s="21"/>
    </row>
    <row r="196" spans="14:17" x14ac:dyDescent="0.3">
      <c r="N196" s="7" t="s">
        <v>204</v>
      </c>
      <c r="O196" s="21"/>
      <c r="P196" s="7"/>
      <c r="Q196" s="21"/>
    </row>
    <row r="197" spans="14:17" x14ac:dyDescent="0.3">
      <c r="N197" s="7" t="s">
        <v>205</v>
      </c>
      <c r="O197" s="21"/>
      <c r="P197" s="7"/>
      <c r="Q197" s="21"/>
    </row>
    <row r="198" spans="14:17" x14ac:dyDescent="0.3">
      <c r="N198" s="7" t="s">
        <v>206</v>
      </c>
      <c r="O198" s="21"/>
      <c r="P198" s="7"/>
      <c r="Q198" s="21"/>
    </row>
    <row r="199" spans="14:17" x14ac:dyDescent="0.3">
      <c r="N199" s="7" t="s">
        <v>207</v>
      </c>
      <c r="O199" s="21"/>
      <c r="P199" s="7"/>
      <c r="Q199" s="21"/>
    </row>
    <row r="200" spans="14:17" x14ac:dyDescent="0.3">
      <c r="N200" s="7" t="s">
        <v>208</v>
      </c>
      <c r="O200" s="21"/>
      <c r="P200" s="7"/>
      <c r="Q200" s="21"/>
    </row>
    <row r="201" spans="14:17" x14ac:dyDescent="0.3">
      <c r="N201" s="7" t="s">
        <v>209</v>
      </c>
      <c r="O201" s="21"/>
      <c r="P201" s="7"/>
      <c r="Q201" s="21"/>
    </row>
    <row r="202" spans="14:17" x14ac:dyDescent="0.3">
      <c r="N202" s="7" t="s">
        <v>210</v>
      </c>
      <c r="O202" s="21"/>
      <c r="P202" s="7"/>
      <c r="Q202" s="21"/>
    </row>
    <row r="203" spans="14:17" x14ac:dyDescent="0.3">
      <c r="N203" s="7" t="s">
        <v>211</v>
      </c>
      <c r="O203" s="21"/>
      <c r="P203" s="7"/>
      <c r="Q203" s="21"/>
    </row>
    <row r="204" spans="14:17" x14ac:dyDescent="0.3">
      <c r="N204" s="7" t="s">
        <v>212</v>
      </c>
      <c r="O204" s="21"/>
      <c r="P204" s="7"/>
      <c r="Q204" s="21"/>
    </row>
    <row r="205" spans="14:17" x14ac:dyDescent="0.3">
      <c r="N205" s="7" t="s">
        <v>213</v>
      </c>
      <c r="O205" s="21"/>
      <c r="P205" s="7"/>
      <c r="Q205" s="21"/>
    </row>
    <row r="206" spans="14:17" x14ac:dyDescent="0.3">
      <c r="N206" s="7" t="s">
        <v>214</v>
      </c>
      <c r="O206" s="21"/>
      <c r="P206" s="7"/>
      <c r="Q206" s="21"/>
    </row>
    <row r="207" spans="14:17" x14ac:dyDescent="0.3">
      <c r="N207" s="7" t="s">
        <v>215</v>
      </c>
      <c r="O207" s="21"/>
      <c r="P207" s="7"/>
      <c r="Q207" s="21"/>
    </row>
    <row r="208" spans="14:17" x14ac:dyDescent="0.3">
      <c r="N208" s="7" t="s">
        <v>216</v>
      </c>
      <c r="O208" s="21"/>
      <c r="P208" s="7"/>
      <c r="Q208" s="21"/>
    </row>
    <row r="209" spans="13:17" x14ac:dyDescent="0.3">
      <c r="N209" s="7" t="s">
        <v>217</v>
      </c>
      <c r="O209" s="21"/>
      <c r="P209" s="7"/>
      <c r="Q209" s="21"/>
    </row>
    <row r="210" spans="13:17" x14ac:dyDescent="0.3">
      <c r="N210" s="7" t="s">
        <v>218</v>
      </c>
      <c r="O210" s="21"/>
      <c r="P210" s="7"/>
      <c r="Q210" s="21"/>
    </row>
    <row r="211" spans="13:17" x14ac:dyDescent="0.3">
      <c r="N211" s="7" t="s">
        <v>219</v>
      </c>
      <c r="O211" s="21"/>
      <c r="P211" s="7"/>
      <c r="Q211" s="21"/>
    </row>
    <row r="212" spans="13:17" x14ac:dyDescent="0.3">
      <c r="N212" s="7" t="s">
        <v>220</v>
      </c>
      <c r="O212" s="21"/>
      <c r="P212" s="7"/>
      <c r="Q212" s="21"/>
    </row>
    <row r="213" spans="13:17" x14ac:dyDescent="0.3">
      <c r="N213" s="7" t="s">
        <v>221</v>
      </c>
      <c r="O213" s="21"/>
      <c r="P213" s="7"/>
      <c r="Q213" s="21"/>
    </row>
    <row r="214" spans="13:17" x14ac:dyDescent="0.3">
      <c r="N214" s="7" t="s">
        <v>222</v>
      </c>
      <c r="O214" s="21"/>
      <c r="P214" s="7"/>
      <c r="Q214" s="21"/>
    </row>
    <row r="215" spans="13:17" x14ac:dyDescent="0.3">
      <c r="N215" s="7" t="s">
        <v>223</v>
      </c>
      <c r="O215" s="21"/>
      <c r="P215" s="7"/>
      <c r="Q215" s="21"/>
    </row>
    <row r="216" spans="13:17" x14ac:dyDescent="0.3">
      <c r="N216" s="7" t="s">
        <v>224</v>
      </c>
      <c r="O216" s="21"/>
      <c r="P216" s="7"/>
      <c r="Q216" s="21"/>
    </row>
    <row r="217" spans="13:17" x14ac:dyDescent="0.3">
      <c r="N217" s="7" t="s">
        <v>225</v>
      </c>
      <c r="O217" s="21"/>
      <c r="P217" s="7"/>
      <c r="Q217" s="21"/>
    </row>
    <row r="218" spans="13:17" x14ac:dyDescent="0.3">
      <c r="M218" s="4"/>
      <c r="N218" s="7" t="s">
        <v>226</v>
      </c>
      <c r="O218" s="21"/>
      <c r="P218" s="7"/>
      <c r="Q218" s="21"/>
    </row>
    <row r="219" spans="13:17" x14ac:dyDescent="0.3">
      <c r="M219" s="4"/>
      <c r="N219" s="7" t="s">
        <v>227</v>
      </c>
      <c r="O219" s="21"/>
      <c r="P219" s="7"/>
      <c r="Q219" s="21"/>
    </row>
    <row r="220" spans="13:17" x14ac:dyDescent="0.3">
      <c r="M220" s="4"/>
      <c r="N220" s="7" t="s">
        <v>228</v>
      </c>
      <c r="O220" s="21"/>
      <c r="P220" s="7"/>
      <c r="Q220" s="21"/>
    </row>
    <row r="221" spans="13:17" x14ac:dyDescent="0.3">
      <c r="M221" s="4"/>
      <c r="N221" s="7" t="s">
        <v>229</v>
      </c>
      <c r="O221" s="21"/>
      <c r="P221" s="7"/>
      <c r="Q221" s="21"/>
    </row>
    <row r="222" spans="13:17" x14ac:dyDescent="0.3">
      <c r="M222" s="4"/>
      <c r="N222" s="7" t="s">
        <v>230</v>
      </c>
      <c r="O222" s="21"/>
      <c r="P222" s="7"/>
      <c r="Q222" s="21"/>
    </row>
    <row r="223" spans="13:17" x14ac:dyDescent="0.3">
      <c r="M223" s="4"/>
      <c r="N223" s="7" t="s">
        <v>231</v>
      </c>
      <c r="O223" s="21"/>
      <c r="P223" s="7"/>
      <c r="Q223" s="21"/>
    </row>
    <row r="224" spans="13:17" x14ac:dyDescent="0.3">
      <c r="M224" s="4"/>
      <c r="N224" s="7" t="s">
        <v>232</v>
      </c>
      <c r="O224" s="21"/>
      <c r="P224" s="7"/>
      <c r="Q224" s="21"/>
    </row>
    <row r="225" spans="13:17" x14ac:dyDescent="0.3">
      <c r="M225" s="4"/>
      <c r="N225" s="7" t="s">
        <v>233</v>
      </c>
      <c r="O225" s="21"/>
      <c r="P225" s="7"/>
      <c r="Q225" s="21"/>
    </row>
    <row r="226" spans="13:17" x14ac:dyDescent="0.3">
      <c r="M226" s="4"/>
      <c r="N226" s="7" t="s">
        <v>234</v>
      </c>
      <c r="O226" s="21"/>
      <c r="P226" s="7"/>
      <c r="Q226" s="21"/>
    </row>
    <row r="227" spans="13:17" x14ac:dyDescent="0.3">
      <c r="M227" s="4"/>
      <c r="N227" s="7" t="s">
        <v>235</v>
      </c>
      <c r="O227" s="21"/>
      <c r="P227" s="7"/>
      <c r="Q227" s="21"/>
    </row>
    <row r="228" spans="13:17" x14ac:dyDescent="0.3">
      <c r="M228" s="4"/>
      <c r="N228" s="7" t="s">
        <v>236</v>
      </c>
      <c r="O228" s="21"/>
      <c r="P228" s="7"/>
      <c r="Q228" s="21"/>
    </row>
    <row r="229" spans="13:17" x14ac:dyDescent="0.3">
      <c r="M229" s="4"/>
      <c r="N229" s="7" t="s">
        <v>237</v>
      </c>
      <c r="O229" s="21"/>
      <c r="P229" s="7"/>
      <c r="Q229" s="21"/>
    </row>
    <row r="230" spans="13:17" x14ac:dyDescent="0.3">
      <c r="M230" s="4"/>
      <c r="N230" s="7" t="s">
        <v>238</v>
      </c>
      <c r="O230" s="21"/>
      <c r="P230" s="7"/>
      <c r="Q230" s="21"/>
    </row>
    <row r="231" spans="13:17" x14ac:dyDescent="0.3">
      <c r="M231" s="4"/>
      <c r="N231" s="7" t="s">
        <v>239</v>
      </c>
      <c r="O231" s="21"/>
      <c r="P231" s="7"/>
      <c r="Q231" s="21"/>
    </row>
    <row r="232" spans="13:17" x14ac:dyDescent="0.3">
      <c r="M232" s="4"/>
      <c r="N232" s="7" t="s">
        <v>240</v>
      </c>
      <c r="O232" s="21"/>
      <c r="P232" s="7"/>
      <c r="Q232" s="21"/>
    </row>
    <row r="233" spans="13:17" x14ac:dyDescent="0.3">
      <c r="M233" s="4"/>
      <c r="N233" s="7" t="s">
        <v>241</v>
      </c>
      <c r="O233" s="21"/>
      <c r="P233" s="7"/>
      <c r="Q233" s="21"/>
    </row>
    <row r="234" spans="13:17" x14ac:dyDescent="0.3">
      <c r="M234" s="4"/>
      <c r="N234" s="7" t="s">
        <v>242</v>
      </c>
      <c r="O234" s="21"/>
      <c r="P234" s="7"/>
      <c r="Q234" s="21"/>
    </row>
    <row r="235" spans="13:17" x14ac:dyDescent="0.3">
      <c r="M235" s="4"/>
      <c r="N235" s="7" t="s">
        <v>243</v>
      </c>
      <c r="O235" s="21"/>
      <c r="P235" s="7"/>
      <c r="Q235" s="21"/>
    </row>
    <row r="236" spans="13:17" x14ac:dyDescent="0.3">
      <c r="M236" s="4"/>
      <c r="N236" s="7" t="s">
        <v>244</v>
      </c>
      <c r="O236" s="21"/>
      <c r="P236" s="7"/>
      <c r="Q236" s="21"/>
    </row>
    <row r="237" spans="13:17" x14ac:dyDescent="0.3">
      <c r="M237" s="4"/>
      <c r="N237" s="7" t="s">
        <v>245</v>
      </c>
      <c r="O237" s="21"/>
      <c r="P237" s="7"/>
      <c r="Q237" s="21"/>
    </row>
    <row r="238" spans="13:17" x14ac:dyDescent="0.3">
      <c r="M238" s="4"/>
      <c r="N238" s="7" t="s">
        <v>246</v>
      </c>
      <c r="O238" s="21"/>
      <c r="P238" s="7"/>
      <c r="Q238" s="21"/>
    </row>
    <row r="239" spans="13:17" x14ac:dyDescent="0.3">
      <c r="M239" s="4"/>
      <c r="N239" s="7" t="s">
        <v>247</v>
      </c>
      <c r="O239" s="21"/>
      <c r="P239" s="7"/>
      <c r="Q239" s="21"/>
    </row>
    <row r="240" spans="13:17" x14ac:dyDescent="0.3">
      <c r="M240" s="4"/>
      <c r="N240" s="7" t="s">
        <v>248</v>
      </c>
      <c r="O240" s="21"/>
      <c r="P240" s="7"/>
      <c r="Q240" s="21"/>
    </row>
    <row r="241" spans="13:17" x14ac:dyDescent="0.3">
      <c r="M241" s="4"/>
      <c r="N241" s="7" t="s">
        <v>249</v>
      </c>
      <c r="O241" s="21"/>
      <c r="P241" s="7"/>
      <c r="Q241" s="21"/>
    </row>
    <row r="242" spans="13:17" x14ac:dyDescent="0.3">
      <c r="M242" s="4"/>
      <c r="N242" s="7" t="s">
        <v>250</v>
      </c>
      <c r="O242" s="21"/>
      <c r="P242" s="7"/>
      <c r="Q242" s="21"/>
    </row>
    <row r="243" spans="13:17" x14ac:dyDescent="0.3">
      <c r="M243" s="4"/>
      <c r="N243" s="7" t="s">
        <v>251</v>
      </c>
      <c r="O243" s="21"/>
      <c r="P243" s="7"/>
      <c r="Q243" s="21"/>
    </row>
    <row r="244" spans="13:17" x14ac:dyDescent="0.3">
      <c r="M244" s="4"/>
      <c r="N244" s="7" t="s">
        <v>252</v>
      </c>
      <c r="O244" s="21"/>
      <c r="P244" s="7"/>
      <c r="Q244" s="21"/>
    </row>
    <row r="245" spans="13:17" x14ac:dyDescent="0.3">
      <c r="M245" s="4"/>
      <c r="N245" s="7" t="s">
        <v>253</v>
      </c>
      <c r="O245" s="21"/>
      <c r="P245" s="7"/>
      <c r="Q245" s="21"/>
    </row>
    <row r="246" spans="13:17" x14ac:dyDescent="0.3">
      <c r="M246" s="4"/>
      <c r="N246" s="7" t="s">
        <v>254</v>
      </c>
      <c r="O246" s="21"/>
      <c r="P246" s="7"/>
      <c r="Q246" s="21"/>
    </row>
    <row r="247" spans="13:17" x14ac:dyDescent="0.3">
      <c r="M247" s="4"/>
      <c r="N247" s="7" t="s">
        <v>255</v>
      </c>
      <c r="O247" s="21"/>
      <c r="P247" s="7"/>
      <c r="Q247" s="21"/>
    </row>
    <row r="248" spans="13:17" x14ac:dyDescent="0.3">
      <c r="M248" s="4"/>
      <c r="N248" s="7" t="s">
        <v>256</v>
      </c>
      <c r="O248" s="21"/>
      <c r="P248" s="7"/>
      <c r="Q248" s="21"/>
    </row>
    <row r="249" spans="13:17" x14ac:dyDescent="0.3">
      <c r="M249" s="4"/>
      <c r="N249" s="7" t="s">
        <v>257</v>
      </c>
      <c r="O249" s="21"/>
      <c r="P249" s="7"/>
      <c r="Q249" s="21"/>
    </row>
    <row r="250" spans="13:17" x14ac:dyDescent="0.3">
      <c r="M250" s="4"/>
      <c r="N250" s="7" t="s">
        <v>258</v>
      </c>
      <c r="O250" s="21"/>
      <c r="P250" s="7"/>
      <c r="Q250" s="21"/>
    </row>
    <row r="251" spans="13:17" x14ac:dyDescent="0.3">
      <c r="M251" s="4"/>
      <c r="N251" s="7" t="s">
        <v>259</v>
      </c>
      <c r="O251" s="21"/>
      <c r="P251" s="7"/>
      <c r="Q251" s="21"/>
    </row>
    <row r="252" spans="13:17" x14ac:dyDescent="0.3">
      <c r="M252" s="4"/>
      <c r="N252" s="7" t="s">
        <v>260</v>
      </c>
      <c r="O252" s="21"/>
      <c r="P252" s="7"/>
      <c r="Q252" s="21"/>
    </row>
    <row r="253" spans="13:17" x14ac:dyDescent="0.3">
      <c r="M253" s="4"/>
      <c r="N253" s="7" t="s">
        <v>261</v>
      </c>
      <c r="O253" s="21"/>
      <c r="P253" s="7"/>
      <c r="Q253" s="21"/>
    </row>
    <row r="254" spans="13:17" x14ac:dyDescent="0.3">
      <c r="M254" s="4"/>
      <c r="O254" s="21"/>
      <c r="P254" s="7"/>
      <c r="Q254" s="21"/>
    </row>
    <row r="255" spans="13:17" x14ac:dyDescent="0.3">
      <c r="M255" s="4"/>
      <c r="O255" s="21"/>
      <c r="P255" s="7"/>
    </row>
    <row r="256" spans="13:17" x14ac:dyDescent="0.3">
      <c r="M256" s="4"/>
      <c r="O256" s="21"/>
      <c r="P256" s="7"/>
    </row>
    <row r="257" spans="13:16" x14ac:dyDescent="0.3">
      <c r="M257" s="4"/>
      <c r="O257" s="21"/>
      <c r="P257" s="7"/>
    </row>
    <row r="258" spans="13:16" x14ac:dyDescent="0.3">
      <c r="M258" s="4"/>
      <c r="O258" s="21"/>
      <c r="P258" s="7"/>
    </row>
    <row r="259" spans="13:16" x14ac:dyDescent="0.3">
      <c r="M259" s="4"/>
      <c r="O259" s="21"/>
      <c r="P259" s="7"/>
    </row>
    <row r="260" spans="13:16" x14ac:dyDescent="0.3">
      <c r="M260" s="4"/>
      <c r="O260" s="21"/>
      <c r="P260" s="7"/>
    </row>
    <row r="261" spans="13:16" x14ac:dyDescent="0.3">
      <c r="M261" s="4"/>
      <c r="O261" s="21"/>
      <c r="P261" s="7"/>
    </row>
    <row r="262" spans="13:16" x14ac:dyDescent="0.3">
      <c r="M262" s="4"/>
      <c r="O262" s="21"/>
      <c r="P262" s="7"/>
    </row>
    <row r="263" spans="13:16" x14ac:dyDescent="0.3">
      <c r="M263" s="4"/>
      <c r="O263" s="21"/>
      <c r="P263" s="7"/>
    </row>
    <row r="264" spans="13:16" x14ac:dyDescent="0.3">
      <c r="M264" s="4"/>
      <c r="O264" s="21"/>
      <c r="P264" s="7"/>
    </row>
    <row r="265" spans="13:16" x14ac:dyDescent="0.3">
      <c r="M265" s="4"/>
      <c r="O265" s="21"/>
      <c r="P265" s="7"/>
    </row>
    <row r="266" spans="13:16" x14ac:dyDescent="0.3">
      <c r="M266" s="4"/>
    </row>
    <row r="267" spans="13:16" x14ac:dyDescent="0.3">
      <c r="M267" s="4"/>
    </row>
    <row r="268" spans="13:16" x14ac:dyDescent="0.3">
      <c r="M268" s="4"/>
    </row>
    <row r="269" spans="13:16" x14ac:dyDescent="0.3">
      <c r="M269" s="4"/>
    </row>
    <row r="270" spans="13:16" x14ac:dyDescent="0.3">
      <c r="M270" s="4"/>
    </row>
    <row r="271" spans="13:16" x14ac:dyDescent="0.3">
      <c r="M271" s="4"/>
    </row>
    <row r="272" spans="13:16" x14ac:dyDescent="0.3">
      <c r="M272" s="4"/>
    </row>
    <row r="273" spans="13:15" x14ac:dyDescent="0.3">
      <c r="M273" s="4"/>
    </row>
    <row r="274" spans="13:15" x14ac:dyDescent="0.3">
      <c r="M274" s="4"/>
    </row>
    <row r="275" spans="13:15" x14ac:dyDescent="0.3">
      <c r="M275" s="4"/>
      <c r="O275" s="21"/>
    </row>
    <row r="276" spans="13:15" x14ac:dyDescent="0.3">
      <c r="M276" s="4"/>
      <c r="O276" s="21"/>
    </row>
    <row r="277" spans="13:15" x14ac:dyDescent="0.3">
      <c r="M277" s="4"/>
      <c r="O277" s="21"/>
    </row>
    <row r="278" spans="13:15" x14ac:dyDescent="0.3">
      <c r="M278" s="4"/>
      <c r="O278" s="21"/>
    </row>
    <row r="279" spans="13:15" x14ac:dyDescent="0.3">
      <c r="M279" s="4"/>
      <c r="O279" s="21"/>
    </row>
    <row r="280" spans="13:15" x14ac:dyDescent="0.3">
      <c r="M280" s="4"/>
      <c r="O280" s="21"/>
    </row>
    <row r="281" spans="13:15" x14ac:dyDescent="0.3">
      <c r="M281" s="4"/>
      <c r="O281" s="21"/>
    </row>
    <row r="282" spans="13:15" x14ac:dyDescent="0.3">
      <c r="M282" s="4"/>
      <c r="O282" s="21"/>
    </row>
    <row r="283" spans="13:15" x14ac:dyDescent="0.3">
      <c r="M283" s="4"/>
      <c r="O283" s="21"/>
    </row>
    <row r="284" spans="13:15" x14ac:dyDescent="0.3">
      <c r="M284" s="4"/>
      <c r="O284" s="21"/>
    </row>
    <row r="285" spans="13:15" x14ac:dyDescent="0.3">
      <c r="M285" s="4"/>
      <c r="O285" s="21"/>
    </row>
    <row r="286" spans="13:15" x14ac:dyDescent="0.3">
      <c r="M286" s="4"/>
      <c r="O286" s="21"/>
    </row>
    <row r="287" spans="13:15" x14ac:dyDescent="0.3">
      <c r="M287" s="4"/>
    </row>
    <row r="288" spans="13:15" x14ac:dyDescent="0.3">
      <c r="M288" s="4"/>
    </row>
    <row r="289" spans="13:13" x14ac:dyDescent="0.3">
      <c r="M289" s="4"/>
    </row>
  </sheetData>
  <mergeCells count="3">
    <mergeCell ref="A3:A6"/>
    <mergeCell ref="A7:A14"/>
    <mergeCell ref="A15:A22"/>
  </mergeCells>
  <conditionalFormatting sqref="A88 A86">
    <cfRule type="containsErrors" dxfId="19" priority="34">
      <formula>ISERROR(A86)</formula>
    </cfRule>
  </conditionalFormatting>
  <conditionalFormatting sqref="A88">
    <cfRule type="cellIs" dxfId="18" priority="32" operator="greaterThanOrEqual">
      <formula>2000</formula>
    </cfRule>
  </conditionalFormatting>
  <conditionalFormatting sqref="B71:E71 B78:E78">
    <cfRule type="notContainsBlanks" dxfId="17" priority="33">
      <formula>LEN(TRIM(B71))&gt;0</formula>
    </cfRule>
  </conditionalFormatting>
  <conditionalFormatting sqref="F5:F22">
    <cfRule type="cellIs" dxfId="16" priority="2" operator="greaterThan">
      <formula>150</formula>
    </cfRule>
    <cfRule type="cellIs" dxfId="15" priority="3" operator="lessThan">
      <formula>150</formula>
    </cfRule>
  </conditionalFormatting>
  <conditionalFormatting sqref="G5:G22">
    <cfRule type="cellIs" dxfId="14" priority="6" operator="lessThan">
      <formula>200</formula>
    </cfRule>
    <cfRule type="cellIs" dxfId="13" priority="7" operator="greaterThan">
      <formula>200</formula>
    </cfRule>
  </conditionalFormatting>
  <conditionalFormatting sqref="G71:H71 G78:H78">
    <cfRule type="notContainsBlanks" dxfId="12" priority="31">
      <formula>LEN(TRIM(G71))&gt;0</formula>
    </cfRule>
  </conditionalFormatting>
  <conditionalFormatting sqref="H3:H22">
    <cfRule type="cellIs" dxfId="11" priority="4" operator="lessThan">
      <formula>50</formula>
    </cfRule>
  </conditionalFormatting>
  <conditionalFormatting sqref="I3:J4">
    <cfRule type="cellIs" dxfId="10" priority="1" operator="lessThan">
      <formula>105.1</formula>
    </cfRule>
  </conditionalFormatting>
  <printOptions horizontalCentered="1"/>
  <pageMargins left="0.14000000000000001" right="0.13" top="1.04" bottom="0.28999999999999998" header="0.6" footer="0.13"/>
  <pageSetup orientation="landscape" r:id="rId1"/>
  <headerFooter>
    <oddHeader>&amp;CNIEHSO 20180515
RFI Values
BRTIV 14, 120, 161-168 - Run 3</oddHeader>
    <oddFooter>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FFCC"/>
  </sheetPr>
  <dimension ref="A1:Q16"/>
  <sheetViews>
    <sheetView zoomScaleNormal="100" workbookViewId="0">
      <selection activeCell="A8" sqref="A8"/>
    </sheetView>
  </sheetViews>
  <sheetFormatPr defaultRowHeight="14.4" x14ac:dyDescent="0.3"/>
  <cols>
    <col min="1" max="1" width="13.5546875" bestFit="1" customWidth="1"/>
    <col min="2" max="2" width="15.6640625" customWidth="1"/>
    <col min="3" max="3" width="13.44140625" customWidth="1"/>
    <col min="4" max="4" width="8.6640625" style="60" customWidth="1"/>
    <col min="5" max="5" width="9.109375" style="22"/>
    <col min="6" max="6" width="9.109375" style="60"/>
    <col min="7" max="7" width="9.109375" style="22"/>
    <col min="8" max="8" width="10.88671875" style="22" customWidth="1"/>
    <col min="9" max="9" width="9.109375" style="60"/>
    <col min="10" max="10" width="9.109375" style="22"/>
    <col min="11" max="11" width="9.5546875" style="60" customWidth="1"/>
    <col min="12" max="13" width="9.109375" style="22"/>
    <col min="14" max="14" width="9.6640625" customWidth="1"/>
  </cols>
  <sheetData>
    <row r="1" spans="1:17" ht="18" x14ac:dyDescent="0.35">
      <c r="A1" s="83"/>
      <c r="B1" s="83"/>
      <c r="C1" s="83"/>
      <c r="D1" s="178" t="s">
        <v>91</v>
      </c>
      <c r="E1" s="179"/>
      <c r="F1" s="179"/>
      <c r="G1" s="179"/>
      <c r="H1" s="179"/>
      <c r="I1" s="179"/>
      <c r="J1" s="179"/>
      <c r="K1" s="179"/>
      <c r="L1" s="179"/>
      <c r="M1" s="180"/>
    </row>
    <row r="2" spans="1:17" ht="18.75" customHeight="1" x14ac:dyDescent="0.35">
      <c r="A2" s="181" t="s">
        <v>1</v>
      </c>
      <c r="B2" s="182" t="s">
        <v>271</v>
      </c>
      <c r="C2" s="184" t="s">
        <v>268</v>
      </c>
      <c r="D2" s="186" t="s">
        <v>269</v>
      </c>
      <c r="E2" s="187"/>
      <c r="F2" s="187"/>
      <c r="G2" s="187"/>
      <c r="H2" s="188"/>
      <c r="I2" s="186" t="s">
        <v>270</v>
      </c>
      <c r="J2" s="187"/>
      <c r="K2" s="187"/>
      <c r="L2" s="187"/>
      <c r="M2" s="188"/>
    </row>
    <row r="3" spans="1:17" ht="18" x14ac:dyDescent="0.35">
      <c r="A3" s="181"/>
      <c r="B3" s="183"/>
      <c r="C3" s="185"/>
      <c r="D3" s="84" t="s">
        <v>278</v>
      </c>
      <c r="E3" s="85" t="s">
        <v>279</v>
      </c>
      <c r="F3" s="86" t="s">
        <v>280</v>
      </c>
      <c r="G3" s="85" t="s">
        <v>281</v>
      </c>
      <c r="H3" s="87" t="s">
        <v>266</v>
      </c>
      <c r="I3" s="84" t="s">
        <v>278</v>
      </c>
      <c r="J3" s="85" t="s">
        <v>279</v>
      </c>
      <c r="K3" s="86" t="s">
        <v>280</v>
      </c>
      <c r="L3" s="85" t="s">
        <v>281</v>
      </c>
      <c r="M3" s="87" t="s">
        <v>266</v>
      </c>
    </row>
    <row r="4" spans="1:17" x14ac:dyDescent="0.3">
      <c r="A4" s="93" t="str">
        <f>'Starting Concentrations'!$A$5</f>
        <v>2,4-BPS</v>
      </c>
      <c r="B4" s="94" t="str">
        <f>IF(AND(COUNTIFS('Run 3'!$F$7:$F$14,"&gt;150",'Run 3'!$H$7:$H$14,"&gt;50")=0,COUNTIFS('Run 3'!$G$7:$G$14,"&gt;200",'Run 3'!$H$7:$H$14,"&gt;50")=0),"Non-sensitizer","Sensitizer")</f>
        <v>Sensitizer</v>
      </c>
      <c r="C4" s="95" t="str">
        <f>IF($B$4="Non-Sensitizer",IF(AND(OR('Starting Concentrations'!$B$5=5000,'Starting Concentrations'!$B$5=1000),COUNTIF('Run 3'!$H$7:$H$14,"&gt;50")&gt;=4),"Yes",IF(AND('Run 3'!$H$7&lt;90,COUNTIF('Run 3'!$H$7:$H$14,"&gt;50")&gt;=4),"Yes","No")),IF(COUNTIF('Run 3'!$H$7:$H$14,"&gt;50")&gt;=4,"Yes","No"))</f>
        <v>Yes</v>
      </c>
      <c r="D4" s="96" t="str">
        <f>IF(_xlfn.MINIFS('Run 3'!$B$7:$B$14,'Run 3'!$H$7:$H$14,"&gt;50",'Run 3'!$F$7:$F$14,"&gt;150")&gt;0,_xlfn.MINIFS('Run 3'!$B$7:$B$14,'Run 3'!$H$7:$H$14,"&gt;50",'Run 3'!$F$7:$F$14,"&gt;150"),"")</f>
        <v/>
      </c>
      <c r="E4" s="92" t="str">
        <f>IF($D4="","",VLOOKUP($D4,'Run 3'!$B$7:$F$14,5,FALSE))</f>
        <v/>
      </c>
      <c r="F4" s="97" t="str">
        <f>IF(_xlfn.MAXIFS('Run 3'!$B$7:$B$14,'Run 3'!$B$7:$B$14,"&lt;"&amp;D4)&gt;0,_xlfn.MAXIFS('Run 3'!$B$7:$B$14,'Run 3'!$B$7:$B$14,"&lt;"&amp;D4),"")</f>
        <v/>
      </c>
      <c r="G4" s="92" t="str">
        <f>IF($F4="","",VLOOKUP($F4,'Run 3'!$B$7:$F$14,5,FALSE))</f>
        <v/>
      </c>
      <c r="H4" s="98" t="str">
        <f>IF(COUNTBLANK(D4:G4)=0,$F$4+((150-$G$4)/($E$4-$G$4)*($D$4-$F$4)),"")</f>
        <v/>
      </c>
      <c r="I4" s="96" t="str">
        <f>IF(_xlfn.MINIFS('Run 3'!$B$11:$B$13,'Run 3'!$F$11:$F$13,"&gt;150",'Run 3'!$F$11:$F$13,"&gt;"&amp;('Run 3'!$F$14*0.1+'Run 3'!$F$14))&gt;0,_xlfn.MINIFS('Run 3'!$B$11:$B$13,'Run 3'!$F$11:$F$13,"&gt;"&amp;('Run 3'!$F$14*0.1+'Run 3'!$F$14)),"")</f>
        <v/>
      </c>
      <c r="J4" s="89" t="str">
        <f>IF($I4="","",VLOOKUP($I4,'Run 3'!$B$7:$F$14,5,FALSE))</f>
        <v/>
      </c>
      <c r="K4" s="91" t="str">
        <f>IF(I4="","",'Run 3'!$B$14)</f>
        <v/>
      </c>
      <c r="L4" s="92" t="str">
        <f>IF(I4="","",'Run 3'!$F$14)</f>
        <v/>
      </c>
      <c r="M4" s="98" t="str">
        <f>IF(COUNTBLANK($I$4:$L$4)=0,2^(LOG($K$4,2)+(150-$L$4)/($J$4-$L$4)*(LOG($I$4,2)-LOG($K$4,2))),"")</f>
        <v/>
      </c>
      <c r="P4" s="4"/>
      <c r="Q4" s="4"/>
    </row>
    <row r="5" spans="1:17" ht="15" thickBot="1" x14ac:dyDescent="0.35">
      <c r="A5" s="107" t="str">
        <f>'Starting Concentrations'!$A$6</f>
        <v>BPF</v>
      </c>
      <c r="B5" s="108" t="str">
        <f>IF(AND(COUNTIFS('Run 3'!$F$15:$F$22,"&gt;150",'Run 3'!$H$15:$H$22,"&gt;50")=0,COUNTIFS('Run 3'!$G$15:$G$22,"&gt;200",'Run 3'!$H$15:$H$22,"&gt;50")=0),"Non-sensitizer","Sensitizer")</f>
        <v>Non-sensitizer</v>
      </c>
      <c r="C5" s="109" t="str">
        <f>IF($B$5="Non-Sensitizer",IF(AND(OR('Starting Concentrations'!$B$6=5000,'Starting Concentrations'!$B$6=1000),COUNTIF('Run 3'!$H$15:$H$22,"&gt;50")&gt;=4),"Yes",IF(AND('Run 3'!$H$15&lt;90,COUNTIF('Run 3'!$H$15:$H$22,"&gt;50")&gt;=4),"Yes","No")),IF(COUNTIF('Run 3'!$H$15:$H$22,"&gt;50")&gt;=4,"Yes","No"))</f>
        <v>Yes</v>
      </c>
      <c r="D5" s="110" t="str">
        <f>IF(_xlfn.MINIFS('Run 3'!$B$15:$B$22,'Run 3'!$H$15:$H$22,"&gt;50",'Run 3'!$F$15:$F$22,"&gt;150")&gt;0,_xlfn.MINIFS('Run 3'!$B$15:$B$22,'Run 3'!$H$15:$H$22,"&gt;50",'Run 3'!$F$15:$F$22,"&gt;150"),"")</f>
        <v/>
      </c>
      <c r="E5" s="111" t="str">
        <f>IF($D5="","",VLOOKUP($D5,'Run 3'!$B$15:$F$22,5,FALSE))</f>
        <v/>
      </c>
      <c r="F5" s="112" t="str">
        <f>IF(_xlfn.MAXIFS('Run 3'!$B$15:$B$22,'Run 3'!$B$15:$B$22,"&lt;"&amp;D5)&gt;0,_xlfn.MAXIFS('Run 3'!$B$15:$B$22,'Run 3'!$B$15:$B$22,"&lt;"&amp;D5),"")</f>
        <v/>
      </c>
      <c r="G5" s="111" t="str">
        <f>IF($F5="","",VLOOKUP($F5,'Run 3'!$B$15:$F$22,5,FALSE))</f>
        <v/>
      </c>
      <c r="H5" s="113" t="str">
        <f>IF(COUNTBLANK(D5:G5)=0,$F$5+((150-$G$5)/($E$5-$G$5)*($D$5-$F$5)),"")</f>
        <v/>
      </c>
      <c r="I5" s="110" t="str">
        <f>IF(_xlfn.MINIFS('Run 3'!$B$19:$B$21,'Run 3'!$F$19:$F$21,"&gt;150",'Run 3'!$F$19:$F$21,"&gt;"&amp;('Run 3'!$F$22*0.1+'Run 3'!$F$22))&gt;0,_xlfn.MINIFS('Run 3'!$B$19:$B$21,'Run 3'!$F$19:$F$21,"&gt;"&amp;('Run 3'!$F$22*0.1+'Run 3'!$F$22)),"")</f>
        <v/>
      </c>
      <c r="J5" s="111" t="str">
        <f>IF($I5="","",VLOOKUP($I5,'Run 3'!$B$15:$F$22,5,FALSE))</f>
        <v/>
      </c>
      <c r="K5" s="114" t="str">
        <f>IF(I5="","",'Run 3'!$B$22)</f>
        <v/>
      </c>
      <c r="L5" s="111" t="str">
        <f>IF(I5="","",'Run 3'!$F$22)</f>
        <v/>
      </c>
      <c r="M5" s="113" t="str">
        <f>IF(COUNTBLANK($I$5:$L$5)=0,2^(LOG($K$5,2)+(150-$L$5)/($J$5-$L$5)*(LOG($I$5,2)-LOG($K$5,2))),"")</f>
        <v/>
      </c>
      <c r="P5" s="4"/>
      <c r="Q5" s="4"/>
    </row>
    <row r="6" spans="1:17" x14ac:dyDescent="0.3">
      <c r="A6" s="83"/>
      <c r="B6" s="83"/>
      <c r="C6" s="83"/>
      <c r="D6" s="115"/>
      <c r="E6" s="116"/>
      <c r="F6" s="115"/>
      <c r="G6" s="116"/>
      <c r="H6" s="116"/>
      <c r="I6" s="115"/>
      <c r="J6" s="116"/>
      <c r="K6" s="115"/>
      <c r="L6" s="116"/>
      <c r="M6" s="116"/>
    </row>
    <row r="7" spans="1:17" ht="15" thickBot="1" x14ac:dyDescent="0.35">
      <c r="A7" s="83"/>
      <c r="B7" s="83"/>
      <c r="C7" s="83"/>
      <c r="D7" s="115"/>
      <c r="E7" s="116"/>
      <c r="F7" s="115"/>
      <c r="G7" s="116"/>
      <c r="H7" s="116"/>
      <c r="I7" s="115"/>
      <c r="J7" s="116"/>
      <c r="K7" s="115"/>
      <c r="L7" s="116"/>
      <c r="M7" s="116"/>
    </row>
    <row r="8" spans="1:17" ht="18.75" customHeight="1" x14ac:dyDescent="0.35">
      <c r="A8" s="83"/>
      <c r="B8" s="83"/>
      <c r="C8" s="83"/>
      <c r="D8" s="178" t="s">
        <v>92</v>
      </c>
      <c r="E8" s="179"/>
      <c r="F8" s="179"/>
      <c r="G8" s="179"/>
      <c r="H8" s="179"/>
      <c r="I8" s="179"/>
      <c r="J8" s="179"/>
      <c r="K8" s="179"/>
      <c r="L8" s="179"/>
      <c r="M8" s="180"/>
    </row>
    <row r="9" spans="1:17" ht="18.75" customHeight="1" x14ac:dyDescent="0.35">
      <c r="A9" s="181" t="s">
        <v>1</v>
      </c>
      <c r="B9" s="182" t="s">
        <v>271</v>
      </c>
      <c r="C9" s="184" t="s">
        <v>268</v>
      </c>
      <c r="D9" s="186" t="s">
        <v>269</v>
      </c>
      <c r="E9" s="187"/>
      <c r="F9" s="187"/>
      <c r="G9" s="187"/>
      <c r="H9" s="188"/>
      <c r="I9" s="186" t="s">
        <v>270</v>
      </c>
      <c r="J9" s="187"/>
      <c r="K9" s="187"/>
      <c r="L9" s="187"/>
      <c r="M9" s="188"/>
    </row>
    <row r="10" spans="1:17" ht="18" x14ac:dyDescent="0.35">
      <c r="A10" s="181"/>
      <c r="B10" s="183"/>
      <c r="C10" s="185"/>
      <c r="D10" s="84" t="s">
        <v>278</v>
      </c>
      <c r="E10" s="85" t="s">
        <v>279</v>
      </c>
      <c r="F10" s="86" t="s">
        <v>280</v>
      </c>
      <c r="G10" s="85" t="s">
        <v>281</v>
      </c>
      <c r="H10" s="87" t="s">
        <v>267</v>
      </c>
      <c r="I10" s="84" t="s">
        <v>278</v>
      </c>
      <c r="J10" s="85" t="s">
        <v>279</v>
      </c>
      <c r="K10" s="86" t="s">
        <v>280</v>
      </c>
      <c r="L10" s="85" t="s">
        <v>281</v>
      </c>
      <c r="M10" s="87" t="s">
        <v>267</v>
      </c>
    </row>
    <row r="11" spans="1:17" x14ac:dyDescent="0.3">
      <c r="A11" s="93" t="str">
        <f>'Starting Concentrations'!$A$5</f>
        <v>2,4-BPS</v>
      </c>
      <c r="B11" s="94" t="str">
        <f>IF(AND(COUNTIFS('Run 3'!$F$7:$F$14,"&gt;150",'Run 3'!$H$7:$H$14,"&gt;50")=0,COUNTIFS('Run 3'!$G$7:$G$14,"&gt;200",'Run 3'!$H$7:$H$14,"&gt;50")=0),"Non-sensitizer","Sensitizer")</f>
        <v>Sensitizer</v>
      </c>
      <c r="C11" s="95" t="str">
        <f>IF($B$4="Non-Sensitizer",IF(AND(OR('Starting Concentrations'!$B$5=5000,'Starting Concentrations'!$B$5=1000),COUNTIF('Run 3'!$H$7:$H$14,"&gt;50")&gt;=4),"Yes",IF(AND('Run 3'!$H$7&lt;90,COUNTIF('Run 3'!$H$7:$H$14,"&gt;50")&gt;=4),"Yes","No")),IF(COUNTIF('Run 3'!$H$7:$H$14,"&gt;50")&gt;=4,"Yes","No"))</f>
        <v>Yes</v>
      </c>
      <c r="D11" s="141">
        <f>IF(_xlfn.MINIFS('Run 3'!$B$7:$B$14,'Run 3'!$H$7:$H$14,"&gt;50",'Run 3'!$G$7:$G$14,"&gt;200")&gt;0,_xlfn.MINIFS('Run 3'!$B$7:$B$14,'Run 3'!$H$7:$H$14,"&gt;50",'Run 3'!$G$7:$G$14,"&gt;200"),"")</f>
        <v>118.63425925925927</v>
      </c>
      <c r="E11" s="92">
        <f>IF($D11="","",VLOOKUP($D11,'Run 3'!$B$7:$G$14,6,FALSE))</f>
        <v>273.07038806112018</v>
      </c>
      <c r="F11" s="97">
        <f>IF(_xlfn.MAXIFS('Run 3'!$B$7:$B$14,'Run 3'!$B$7:$B$14,"&lt;"&amp;D11)&gt;0,_xlfn.MAXIFS('Run 3'!$B$7:$B$14,'Run 3'!$B$7:$B$14,"&lt;"&amp;D11),"")</f>
        <v>98.861882716049394</v>
      </c>
      <c r="G11" s="92">
        <f>IF($F11="","",VLOOKUP($F11,'Run 3'!$B$7:$G$14,6,FALSE))</f>
        <v>190.49333428388104</v>
      </c>
      <c r="H11" s="142">
        <f t="shared" ref="H11:H12" si="0">IF(COUNTBLANK($D11:$G11)=0,$F11+((200-$G11)/($E11-$G11)*($D11-$F11)),"")</f>
        <v>101.13817335141883</v>
      </c>
      <c r="I11" s="96" t="str">
        <f>IF(_xlfn.MINIFS('Run 3'!$B$11:$B$13,'Run 3'!$G$11:$G$13,"&gt;200",'Run 3'!$G$11:$G$13,"&gt;"&amp;('Run 3'!$G$14*0.1+'Run 3'!$G$14))&gt;0,_xlfn.MINIFS('Run 3'!$B$11:$B$13,'Run 3'!$G$11:$G$13,"&gt;"&amp;('Run 3'!$G$14*0.1+'Run 3'!$G$14)),"")</f>
        <v/>
      </c>
      <c r="J11" s="89" t="str">
        <f>IF($I11="","",VLOOKUP($I11,'Run 3'!$B$7:$G$14,6,FALSE))</f>
        <v/>
      </c>
      <c r="K11" s="91" t="str">
        <f>IF(I11="","",'Run 3'!$B$14)</f>
        <v/>
      </c>
      <c r="L11" s="92" t="str">
        <f>IF(I11="","",'Run 3'!$G$14)</f>
        <v/>
      </c>
      <c r="M11" s="98" t="str">
        <f t="shared" ref="M11:M12" si="1">IF(COUNTBLANK($I11:$L11)=0,2^(LOG($K11,2)+(200-$L11)/($J11-$L11)*(LOG($I11,2)-LOG($K11,2))),"")</f>
        <v/>
      </c>
      <c r="O11" s="48"/>
    </row>
    <row r="12" spans="1:17" ht="15" thickBot="1" x14ac:dyDescent="0.35">
      <c r="A12" s="107" t="str">
        <f>'Starting Concentrations'!$A$6</f>
        <v>BPF</v>
      </c>
      <c r="B12" s="108" t="str">
        <f>IF(AND(COUNTIFS('Run 3'!$F$15:$F$22,"&gt;150",'Run 3'!$H$15:$H$22,"&gt;50")=0,COUNTIFS('Run 3'!$G$15:$G$22,"&gt;200",'Run 3'!$H$15:$H$22,"&gt;50")=0),"Non-sensitizer","Sensitizer")</f>
        <v>Non-sensitizer</v>
      </c>
      <c r="C12" s="109" t="str">
        <f>IF($B$5="Non-Sensitizer",IF(AND(OR('Starting Concentrations'!$B$6=5000,'Starting Concentrations'!$B$6=1000),COUNTIF('Run 3'!$H$15:$H$22,"&gt;50")&gt;=4),"Yes",IF(AND('Run 3'!$H$15&lt;90,COUNTIF('Run 3'!$H$15:$H$22,"&gt;50")&gt;=4),"Yes","No")),IF(COUNTIF('Run 3'!$H$15:$H$22,"&gt;50")&gt;=4,"Yes","No"))</f>
        <v>Yes</v>
      </c>
      <c r="D12" s="110" t="str">
        <f>IF(_xlfn.MINIFS('Run 3'!$B$15:$B$22,'Run 3'!$H$15:$H$22,"&gt;50",'Run 3'!$G$15:$G$22,"&gt;200")&gt;0,_xlfn.MINIFS('Run 3'!$B$15:$B$22,'Run 3'!$H$15:$H$22,"&gt;50",'Run 3'!$G$15:$G$22,"&gt;200"),"")</f>
        <v/>
      </c>
      <c r="E12" s="111" t="str">
        <f>IF($D12="","",VLOOKUP($D12,'Run 3'!$B$15:$G$22,6,FALSE))</f>
        <v/>
      </c>
      <c r="F12" s="112" t="str">
        <f>IF(_xlfn.MAXIFS('Run 3'!$B$15:$B$22,'Run 3'!$B$15:$B$22,"&lt;"&amp;D12)&gt;0,_xlfn.MAXIFS('Run 3'!$B$15:$B$22,'Run 3'!$B$15:$B$22,"&lt;"&amp;D12),"")</f>
        <v/>
      </c>
      <c r="G12" s="111" t="str">
        <f>IF($F12="","",VLOOKUP($F12,'Run 3'!$B$15:$G$22,6,FALSE))</f>
        <v/>
      </c>
      <c r="H12" s="113" t="str">
        <f t="shared" si="0"/>
        <v/>
      </c>
      <c r="I12" s="110" t="str">
        <f>IF(_xlfn.MINIFS('Run 3'!$B$19:$B$21,'Run 3'!$G$19:$G$21,"&gt;200",'Run 3'!$G$19:$G$21,"&gt;"&amp;('Run 3'!$G$22*0.1+'Run 3'!$G$22))&gt;0,_xlfn.MINIFS('Run 3'!$B$19:$B$21,'Run 3'!$G$19:$G$21,"&gt;"&amp;('Run 3'!$G$22*0.1+'Run 3'!$G$22)),"")</f>
        <v/>
      </c>
      <c r="J12" s="111" t="str">
        <f>IF($I12="","",VLOOKUP($I12,'Run 3'!$B$15:$G$22,6,FALSE))</f>
        <v/>
      </c>
      <c r="K12" s="114" t="str">
        <f>IF(I12="","",'Run 3'!$B$22)</f>
        <v/>
      </c>
      <c r="L12" s="111" t="str">
        <f>IF(I12="","",'Run 3'!$G$22)</f>
        <v/>
      </c>
      <c r="M12" s="113" t="str">
        <f t="shared" si="1"/>
        <v/>
      </c>
    </row>
    <row r="15" spans="1:17" x14ac:dyDescent="0.3">
      <c r="D15" s="60" t="s">
        <v>277</v>
      </c>
    </row>
    <row r="16" spans="1:17" x14ac:dyDescent="0.3">
      <c r="D16" s="60" t="s">
        <v>277</v>
      </c>
    </row>
  </sheetData>
  <mergeCells count="12">
    <mergeCell ref="D8:M8"/>
    <mergeCell ref="A9:A10"/>
    <mergeCell ref="B9:B10"/>
    <mergeCell ref="C9:C10"/>
    <mergeCell ref="D9:H9"/>
    <mergeCell ref="I9:M9"/>
    <mergeCell ref="D1:M1"/>
    <mergeCell ref="A2:A3"/>
    <mergeCell ref="B2:B3"/>
    <mergeCell ref="C2:C3"/>
    <mergeCell ref="D2:H2"/>
    <mergeCell ref="I2:M2"/>
  </mergeCells>
  <conditionalFormatting sqref="B4:C5 B11:C12">
    <cfRule type="expression" dxfId="7" priority="24" stopIfTrue="1">
      <formula>$C4="No"</formula>
    </cfRule>
  </conditionalFormatting>
  <conditionalFormatting sqref="D4:H5 D11:H12">
    <cfRule type="expression" dxfId="4" priority="25">
      <formula>COUNTBLANK($D4:$G4)&gt;1</formula>
    </cfRule>
  </conditionalFormatting>
  <conditionalFormatting sqref="D4:M5 D11:M12">
    <cfRule type="expression" dxfId="3" priority="12" stopIfTrue="1">
      <formula>$C4="No"</formula>
    </cfRule>
    <cfRule type="expression" dxfId="2" priority="13">
      <formula>$B4="Non-sensitizer"</formula>
    </cfRule>
  </conditionalFormatting>
  <conditionalFormatting sqref="I4:M5 I11:M12">
    <cfRule type="expression" dxfId="1" priority="26">
      <formula>COUNTBLANK($H4)=0</formula>
    </cfRule>
    <cfRule type="expression" dxfId="0" priority="27">
      <formula>COUNTBLANK($I4:$M4)&gt;1</formula>
    </cfRule>
  </conditionalFormatting>
  <printOptions horizontalCentered="1"/>
  <pageMargins left="0.3" right="0.22" top="1.32" bottom="0.75" header="0.68" footer="0.3"/>
  <pageSetup scale="89" orientation="landscape" r:id="rId1"/>
  <headerFooter>
    <oddHeader>&amp;CNIEHSO 20180515
EC150 &amp; EC200
BRTIV 14, 120, 161-168 - Run 3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629036FE-627B-44A5-9281-B5BF91259201}">
            <xm:f>COUNTIF('Run 3'!$C$7:$E$14,"&gt;0")=0</xm:f>
            <x14:dxf>
              <fill>
                <patternFill>
                  <bgColor rgb="FF92D050"/>
                </patternFill>
              </fill>
            </x14:dxf>
          </x14:cfRule>
          <xm:sqref>A4 A11</xm:sqref>
        </x14:conditionalFormatting>
        <x14:conditionalFormatting xmlns:xm="http://schemas.microsoft.com/office/excel/2006/main">
          <x14:cfRule type="expression" priority="15" id="{68660146-0587-4B56-9FF4-2D5E6C33FAE3}">
            <xm:f>COUNTIF('Run 3'!$C$15:$E$22,"&gt;0")=0</xm:f>
            <x14:dxf>
              <fill>
                <patternFill>
                  <bgColor rgb="FF92D050"/>
                </patternFill>
              </fill>
            </x14:dxf>
          </x14:cfRule>
          <xm:sqref>A5 A12</xm:sqref>
        </x14:conditionalFormatting>
        <x14:conditionalFormatting xmlns:xm="http://schemas.microsoft.com/office/excel/2006/main">
          <x14:cfRule type="expression" priority="1" id="{54CABEDB-1935-4E63-B532-6F78BD6F7D00}">
            <xm:f>COUNTIF('Run 3'!$C$7:$E$14,"&gt;0")=0</xm:f>
            <x14:dxf>
              <font>
                <color rgb="FF92D050"/>
              </font>
              <fill>
                <patternFill>
                  <bgColor rgb="FF92D050"/>
                </patternFill>
              </fill>
            </x14:dxf>
          </x14:cfRule>
          <xm:sqref>B4:M4 B11:M11</xm:sqref>
        </x14:conditionalFormatting>
        <x14:conditionalFormatting xmlns:xm="http://schemas.microsoft.com/office/excel/2006/main">
          <x14:cfRule type="expression" priority="2" id="{0A172154-90F4-4CAD-846D-63444B189204}">
            <xm:f>COUNTIF('Run 3'!$C$15:$E$22,"&gt;0")=0</xm:f>
            <x14:dxf>
              <font>
                <color rgb="FF92D050"/>
              </font>
              <fill>
                <patternFill>
                  <bgColor rgb="FF92D050"/>
                </patternFill>
              </fill>
            </x14:dxf>
          </x14:cfRule>
          <xm:sqref>B5:M5 B12:M12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Starting Concentrations</vt:lpstr>
      <vt:lpstr>Summary </vt:lpstr>
      <vt:lpstr>Run 1</vt:lpstr>
      <vt:lpstr>EC Values (Run 1)</vt:lpstr>
      <vt:lpstr>Run 2</vt:lpstr>
      <vt:lpstr>EC Values (Run 2)</vt:lpstr>
      <vt:lpstr>Run 3</vt:lpstr>
      <vt:lpstr>EC Values (Run 3)</vt:lpstr>
      <vt:lpstr>'Run 1'!Print_Area</vt:lpstr>
      <vt:lpstr>'Run 2'!Print_Area</vt:lpstr>
      <vt:lpstr>'Run 3'!Print_Area</vt:lpstr>
      <vt:lpstr>'Starting Concentrations'!Print_Area</vt:lpstr>
      <vt:lpstr>'Summary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brtlab</dc:creator>
  <cp:lastModifiedBy>Johnson, Vic</cp:lastModifiedBy>
  <cp:lastPrinted>2020-08-18T14:41:08Z</cp:lastPrinted>
  <dcterms:created xsi:type="dcterms:W3CDTF">2016-10-07T13:51:04Z</dcterms:created>
  <dcterms:modified xsi:type="dcterms:W3CDTF">2025-11-27T14:27:00Z</dcterms:modified>
</cp:coreProperties>
</file>